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вересень" sheetId="1" r:id="rId1"/>
    <sheet name="серпень" sheetId="2" r:id="rId2"/>
    <sheet name="липень" sheetId="3" r:id="rId3"/>
    <sheet name="червень" sheetId="4" r:id="rId4"/>
    <sheet name="травень" sheetId="5" r:id="rId5"/>
    <sheet name="квітень" sheetId="6" r:id="rId6"/>
    <sheet name="березень" sheetId="7" r:id="rId7"/>
    <sheet name="лютий" sheetId="8" r:id="rId8"/>
    <sheet name="січень 17" sheetId="9" r:id="rId9"/>
    <sheet name="грудень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<sst xmlns="http://schemas.openxmlformats.org/spreadsheetml/2006/main" count="1529" uniqueCount="244">
  <si>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</si>
  <si>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</si>
  <si>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</si>
  <si>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</si>
  <si>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</si>
  <si>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</si>
  <si>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</si>
  <si>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</si>
  <si>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</si>
  <si>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</si>
  <si>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</si>
  <si>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</si>
  <si>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</si>
  <si>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</si>
  <si>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</si>
  <si>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</si>
  <si>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</si>
  <si>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</si>
  <si>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</si>
  <si>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</si>
  <si>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</si>
  <si>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</si>
  <si>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</si>
  <si>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</si>
  <si>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</si>
  <si>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</si>
  <si>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</si>
  <si>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</si>
  <si>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</si>
  <si>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</si>
  <si>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</si>
  <si>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</si>
  <si>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</si>
  <si>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</si>
  <si>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</si>
  <si>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</si>
  <si>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</si>
  <si>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</si>
  <si>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</si>
  <si>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</si>
  <si>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</si>
  <si>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</si>
  <si>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</si>
  <si>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</si>
  <si>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</si>
  <si>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</si>
  <si>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</si>
  <si>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</si>
  <si>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</si>
  <si>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</si>
  <si>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</si>
  <si>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</si>
  <si>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</si>
  <si>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</si>
  <si>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</si>
  <si>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</si>
  <si>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</si>
  <si>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</si>
  <si>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</si>
  <si>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</si>
  <si>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</si>
  <si>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</si>
  <si>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</si>
  <si>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</si>
  <si>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</si>
  <si>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</si>
  <si>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</si>
  <si>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</si>
  <si>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</si>
  <si>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</si>
  <si>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</si>
  <si>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</si>
  <si>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</si>
  <si>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</si>
  <si>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</si>
  <si>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</si>
  <si>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</si>
  <si>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</si>
  <si>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</si>
  <si>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</si>
  <si>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</si>
  <si>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</si>
  <si>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</si>
  <si>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</si>
  <si>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</si>
  <si>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</si>
  <si>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</si>
  <si>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</si>
  <si>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</si>
  <si>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</si>
  <si>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</si>
  <si>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</si>
  <si>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</si>
  <si>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</si>
  <si>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</si>
  <si>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</si>
  <si>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</si>
  <si>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</si>
  <si>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</si>
  <si>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</si>
  <si>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</si>
  <si>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</si>
  <si>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</si>
  <si>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</si>
  <si>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</si>
  <si>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</si>
  <si>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</si>
  <si>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</si>
  <si>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</si>
  <si>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</si>
  <si>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</si>
  <si>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</si>
  <si>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</si>
  <si>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</si>
  <si>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</si>
  <si>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</si>
  <si>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</si>
  <si>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</si>
  <si>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</si>
  <si>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</si>
  <si>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</si>
  <si>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</si>
  <si>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</si>
  <si>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</si>
  <si>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</si>
  <si>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</si>
  <si>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</si>
  <si>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</si>
  <si>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</si>
  <si>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</si>
  <si>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</si>
  <si>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</si>
  <si>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</si>
  <si>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</si>
  <si>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</si>
  <si>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</si>
  <si>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</si>
  <si>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</si>
  <si>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</si>
  <si>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</si>
  <si>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</si>
  <si>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</si>
  <si>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</si>
  <si>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</si>
  <si>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</si>
  <si>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</si>
  <si>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</si>
  <si>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</si>
  <si>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</si>
  <si>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</si>
  <si>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</si>
  <si>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</si>
  <si>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</si>
  <si>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</si>
  <si>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</si>
  <si>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</si>
  <si>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</si>
  <si>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</si>
  <si>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</si>
  <si>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</si>
  <si>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</si>
  <si>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</si>
  <si>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</si>
  <si>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</si>
  <si>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</si>
  <si>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</si>
  <si>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</si>
  <si>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</si>
  <si>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</si>
  <si>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</si>
  <si>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</si>
  <si>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</si>
  <si>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</si>
  <si>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</si>
  <si>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</si>
  <si>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</si>
  <si>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</si>
  <si>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</si>
  <si>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</si>
  <si>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</si>
  <si>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</si>
  <si>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</si>
  <si>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</si>
  <si>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</si>
  <si>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</si>
  <si>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</si>
  <si>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</si>
  <si>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</si>
  <si>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</si>
  <si>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</si>
  <si>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</si>
  <si>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</si>
  <si>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</si>
  <si>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</si>
  <si>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</si>
  <si>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</si>
  <si>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</si>
  <si>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</si>
  <si>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</si>
  <si>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</si>
  <si>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</si>
  <si>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</si>
  <si>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</si>
  <si>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</si>
  <si>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</si>
  <si>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</si>
  <si>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</si>
  <si>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</si>
  <si>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</si>
  <si>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</si>
  <si>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</si>
  <si>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</si>
  <si>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</si>
  <si>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</si>
  <si>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</si>
  <si>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</si>
  <si>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</si>
  <si>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</si>
  <si>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</si>
  <si>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</si>
  <si>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</si>
  <si>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</si>
  <si>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</si>
  <si>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</si>
  <si>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</si>
  <si>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</si>
  <si>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</si>
  <si>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</si>
  <si>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</si>
  <si>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</si>
  <si>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</si>
  <si>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</si>
  <si>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</si>
  <si>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</si>
  <si>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</si>
  <si>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Виконано у серпні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</si>
  <si>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 </t>
    </r>
  </si>
  <si>
    <t>Відхилення (+,-) до  плану на січень-вересень 2017 року</t>
  </si>
  <si>
    <t>% виконання  плану на січень-вересень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</si>
  <si>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</si>
  <si>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2017 та 2016 років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</si>
  <si>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</si>
  <si>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25.09.2017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</si>
  <si>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22.09.17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</si>
</sst>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26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64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25" fillId="0" borderId="0">
      <alignment/>
      <protection/>
    </xf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1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2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3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1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1" fillId="0" borderId="0" xfId="55" applyNumberFormat="1" applyFont="1" applyProtection="1">
      <alignment/>
      <protection/>
    </xf>
    <xf numFmtId="182" fontId="84" fillId="0" borderId="0" xfId="55" applyNumberFormat="1" applyFont="1" applyProtection="1">
      <alignment/>
      <protection/>
    </xf>
    <xf numFmtId="182" fontId="83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Fill="1" applyBorder="1" applyAlignment="1" applyProtection="1">
      <alignment/>
      <protection/>
    </xf>
    <xf numFmtId="191" fontId="82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5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4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6" fillId="0" borderId="0" xfId="0" applyNumberFormat="1" applyFont="1" applyAlignment="1" applyProtection="1">
      <alignment/>
      <protection/>
    </xf>
    <xf numFmtId="4" fontId="86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7" fillId="39" borderId="10" xfId="0" applyNumberFormat="1" applyFont="1" applyFill="1" applyBorder="1" applyAlignment="1">
      <alignment/>
    </xf>
    <xf numFmtId="182" fontId="87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4" fillId="0" borderId="0" xfId="55" applyFont="1" applyAlignment="1" applyProtection="1">
      <alignment horizontal="center"/>
      <protection/>
    </xf>
    <xf numFmtId="0" fontId="84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4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4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88" fillId="40" borderId="10" xfId="0" applyNumberFormat="1" applyFont="1" applyFill="1" applyBorder="1" applyAlignment="1" applyProtection="1">
      <alignment horizontal="right"/>
      <protection/>
    </xf>
    <xf numFmtId="182" fontId="89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182" fontId="3" fillId="42" borderId="10" xfId="0" applyNumberFormat="1" applyFont="1" applyFill="1" applyBorder="1" applyAlignment="1" applyProtection="1">
      <alignment/>
      <protection/>
    </xf>
    <xf numFmtId="191" fontId="3" fillId="42" borderId="10" xfId="0" applyNumberFormat="1" applyFont="1" applyFill="1" applyBorder="1" applyAlignment="1" applyProtection="1">
      <alignment/>
      <protection/>
    </xf>
    <xf numFmtId="182" fontId="88" fillId="40" borderId="10" xfId="0" applyNumberFormat="1" applyFont="1" applyFill="1" applyBorder="1" applyAlignment="1" applyProtection="1">
      <alignment horizontal="right"/>
      <protection/>
    </xf>
    <xf numFmtId="182" fontId="82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49" fontId="3" fillId="42" borderId="10" xfId="0" applyNumberFormat="1" applyFont="1" applyFill="1" applyBorder="1" applyAlignment="1" applyProtection="1">
      <alignment horizontal="center" vertical="center" wrapText="1"/>
      <protection/>
    </xf>
    <xf numFmtId="0" fontId="10" fillId="42" borderId="10" xfId="55" applyFont="1" applyFill="1" applyBorder="1" applyProtection="1">
      <alignment/>
      <protection/>
    </xf>
    <xf numFmtId="182" fontId="3" fillId="42" borderId="10" xfId="55" applyNumberFormat="1" applyFont="1" applyFill="1" applyBorder="1" applyProtection="1">
      <alignment/>
      <protection/>
    </xf>
    <xf numFmtId="182" fontId="3" fillId="42" borderId="10" xfId="0" applyNumberFormat="1" applyFont="1" applyFill="1" applyBorder="1" applyAlignment="1" applyProtection="1">
      <alignment horizontal="right"/>
      <protection/>
    </xf>
    <xf numFmtId="182" fontId="3" fillId="42" borderId="10" xfId="0" applyNumberFormat="1" applyFont="1" applyFill="1" applyBorder="1" applyAlignment="1" applyProtection="1">
      <alignment horizontal="right"/>
      <protection locked="0"/>
    </xf>
    <xf numFmtId="0" fontId="3" fillId="42" borderId="10" xfId="55" applyFont="1" applyFill="1" applyBorder="1" applyAlignment="1" applyProtection="1">
      <alignment horizontal="center"/>
      <protection/>
    </xf>
    <xf numFmtId="0" fontId="12" fillId="0" borderId="0" xfId="55" applyFont="1" applyAlignment="1" applyProtection="1">
      <alignment horizontal="center"/>
      <protection/>
    </xf>
    <xf numFmtId="0" fontId="81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18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24" fillId="13" borderId="18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right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42">
        <row r="6">
          <cell r="G6" t="str">
            <v>авансові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24"/>
  <sheetViews>
    <sheetView tabSelected="1" zoomScale="75" zoomScaleNormal="75" zoomScalePageLayoutView="0" workbookViewId="0" topLeftCell="B1">
      <pane xSplit="2" ySplit="8" topLeftCell="D9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12" t="s">
        <v>242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6"/>
      <c r="S1" s="86"/>
    </row>
    <row r="2" spans="2:19" s="1" customFormat="1" ht="15.75" customHeight="1">
      <c r="B2" s="313"/>
      <c r="C2" s="313"/>
      <c r="D2" s="31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14"/>
      <c r="B3" s="316"/>
      <c r="C3" s="317" t="s">
        <v>0</v>
      </c>
      <c r="D3" s="318" t="s">
        <v>150</v>
      </c>
      <c r="E3" s="32"/>
      <c r="F3" s="319" t="s">
        <v>26</v>
      </c>
      <c r="G3" s="320"/>
      <c r="H3" s="320"/>
      <c r="I3" s="320"/>
      <c r="J3" s="321"/>
      <c r="K3" s="83"/>
      <c r="L3" s="83"/>
      <c r="M3" s="83"/>
      <c r="N3" s="322" t="s">
        <v>239</v>
      </c>
      <c r="O3" s="325" t="s">
        <v>241</v>
      </c>
      <c r="P3" s="325"/>
      <c r="Q3" s="325"/>
      <c r="R3" s="325"/>
      <c r="S3" s="325"/>
    </row>
    <row r="4" spans="1:19" ht="22.5" customHeight="1">
      <c r="A4" s="314"/>
      <c r="B4" s="316"/>
      <c r="C4" s="317"/>
      <c r="D4" s="318"/>
      <c r="E4" s="326" t="s">
        <v>236</v>
      </c>
      <c r="F4" s="328" t="s">
        <v>33</v>
      </c>
      <c r="G4" s="330" t="s">
        <v>237</v>
      </c>
      <c r="H4" s="323" t="s">
        <v>238</v>
      </c>
      <c r="I4" s="330" t="s">
        <v>138</v>
      </c>
      <c r="J4" s="323" t="s">
        <v>139</v>
      </c>
      <c r="K4" s="85" t="s">
        <v>141</v>
      </c>
      <c r="L4" s="204" t="s">
        <v>113</v>
      </c>
      <c r="M4" s="90" t="s">
        <v>63</v>
      </c>
      <c r="N4" s="323"/>
      <c r="O4" s="332" t="s">
        <v>243</v>
      </c>
      <c r="P4" s="330" t="s">
        <v>49</v>
      </c>
      <c r="Q4" s="335" t="s">
        <v>48</v>
      </c>
      <c r="R4" s="91" t="s">
        <v>64</v>
      </c>
      <c r="S4" s="91"/>
    </row>
    <row r="5" spans="1:19" ht="67.5" customHeight="1">
      <c r="A5" s="315"/>
      <c r="B5" s="316"/>
      <c r="C5" s="317"/>
      <c r="D5" s="318"/>
      <c r="E5" s="327"/>
      <c r="F5" s="329"/>
      <c r="G5" s="331"/>
      <c r="H5" s="324"/>
      <c r="I5" s="331"/>
      <c r="J5" s="324"/>
      <c r="K5" s="336" t="s">
        <v>240</v>
      </c>
      <c r="L5" s="337"/>
      <c r="M5" s="338"/>
      <c r="N5" s="324"/>
      <c r="O5" s="333"/>
      <c r="P5" s="331"/>
      <c r="Q5" s="335"/>
      <c r="R5" s="339" t="s">
        <v>215</v>
      </c>
      <c r="S5" s="34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946631.6</v>
      </c>
      <c r="F8" s="151">
        <f>F9+F15+F18+F19+F23+F17</f>
        <v>902315.23</v>
      </c>
      <c r="G8" s="151">
        <f>F8-E8</f>
        <v>-44316.369999999995</v>
      </c>
      <c r="H8" s="152">
        <f>F8/E8*100</f>
        <v>95.31851989728634</v>
      </c>
      <c r="I8" s="153">
        <f aca="true" t="shared" si="0" ref="I8:I15">F8-D8</f>
        <v>-396135.8700000001</v>
      </c>
      <c r="J8" s="153">
        <f aca="true" t="shared" si="1" ref="J8:J15">F8/D8*100</f>
        <v>69.49166048686777</v>
      </c>
      <c r="K8" s="151">
        <v>708038.65</v>
      </c>
      <c r="L8" s="151">
        <f aca="true" t="shared" si="2" ref="L8:L25">F8-K8</f>
        <v>194276.57999999996</v>
      </c>
      <c r="M8" s="205">
        <f aca="true" t="shared" si="3" ref="M8:M20">F8/K8</f>
        <v>1.2743869702593211</v>
      </c>
      <c r="N8" s="151">
        <f>N9+N15+N18+N19+N23+N17</f>
        <v>100820.39999999997</v>
      </c>
      <c r="O8" s="151">
        <f>O9+O15+O18+O19+O23+O17</f>
        <v>64241.74999999994</v>
      </c>
      <c r="P8" s="151">
        <f>O8-N8</f>
        <v>-36578.65000000002</v>
      </c>
      <c r="Q8" s="151">
        <f aca="true" t="shared" si="4" ref="Q8:Q16">O8/N8*100</f>
        <v>63.71899932950073</v>
      </c>
      <c r="R8" s="15">
        <f>R9+R15+R18+R19+R23</f>
        <v>102514</v>
      </c>
      <c r="S8" s="15">
        <f>O8-R8</f>
        <v>-38272.25000000006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547140</v>
      </c>
      <c r="F9" s="156">
        <v>533147.62</v>
      </c>
      <c r="G9" s="150">
        <f>F9-E9</f>
        <v>-13992.380000000005</v>
      </c>
      <c r="H9" s="157">
        <f>F9/E9*100</f>
        <v>97.44263259860365</v>
      </c>
      <c r="I9" s="158">
        <f t="shared" si="0"/>
        <v>-233497.38</v>
      </c>
      <c r="J9" s="158">
        <f t="shared" si="1"/>
        <v>69.54295925754424</v>
      </c>
      <c r="K9" s="227">
        <v>385326.41</v>
      </c>
      <c r="L9" s="159">
        <f t="shared" si="2"/>
        <v>147821.21000000002</v>
      </c>
      <c r="M9" s="206">
        <f t="shared" si="3"/>
        <v>1.3836259497499797</v>
      </c>
      <c r="N9" s="157">
        <f>E9-серпень!E9</f>
        <v>65900</v>
      </c>
      <c r="O9" s="160">
        <f>F9-серпень!F9</f>
        <v>48367.33999999997</v>
      </c>
      <c r="P9" s="161">
        <f>O9-N9</f>
        <v>-17532.660000000033</v>
      </c>
      <c r="Q9" s="158">
        <f t="shared" si="4"/>
        <v>73.39505311077386</v>
      </c>
      <c r="R9" s="100">
        <v>71000</v>
      </c>
      <c r="S9" s="100">
        <f>O9-R9</f>
        <v>-22632.660000000033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498306</v>
      </c>
      <c r="F10" s="140">
        <v>488962.49</v>
      </c>
      <c r="G10" s="103">
        <f aca="true" t="shared" si="5" ref="G10:G35">F10-E10</f>
        <v>-9343.51000000001</v>
      </c>
      <c r="H10" s="105">
        <f aca="true" t="shared" si="6" ref="H10:H15">F10/E10*100</f>
        <v>98.12494531472629</v>
      </c>
      <c r="I10" s="104">
        <f t="shared" si="0"/>
        <v>-212354.51</v>
      </c>
      <c r="J10" s="104">
        <f t="shared" si="1"/>
        <v>69.7206099381592</v>
      </c>
      <c r="K10" s="106">
        <v>339269.05</v>
      </c>
      <c r="L10" s="106">
        <f t="shared" si="2"/>
        <v>149693.44</v>
      </c>
      <c r="M10" s="207">
        <f t="shared" si="3"/>
        <v>1.4412233889298185</v>
      </c>
      <c r="N10" s="105">
        <f>E10-серпень!E10</f>
        <v>60404</v>
      </c>
      <c r="O10" s="144">
        <f>F10-серпень!F10</f>
        <v>45184.95999999996</v>
      </c>
      <c r="P10" s="106">
        <f aca="true" t="shared" si="7" ref="P10:P40">O10-N10</f>
        <v>-15219.040000000037</v>
      </c>
      <c r="Q10" s="104">
        <f t="shared" si="4"/>
        <v>74.80458247798153</v>
      </c>
      <c r="R10" s="37"/>
      <c r="S10" s="100" t="e">
        <f>#N/A</f>
        <v>#N/A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34200</v>
      </c>
      <c r="F11" s="140">
        <v>28020.09</v>
      </c>
      <c r="G11" s="103">
        <f t="shared" si="5"/>
        <v>-6179.91</v>
      </c>
      <c r="H11" s="105">
        <f t="shared" si="6"/>
        <v>81.93008771929826</v>
      </c>
      <c r="I11" s="104">
        <f t="shared" si="0"/>
        <v>-18485.91</v>
      </c>
      <c r="J11" s="104">
        <f t="shared" si="1"/>
        <v>60.250483808540835</v>
      </c>
      <c r="K11" s="106">
        <v>28497.47</v>
      </c>
      <c r="L11" s="106">
        <f t="shared" si="2"/>
        <v>-477.380000000001</v>
      </c>
      <c r="M11" s="207">
        <f t="shared" si="3"/>
        <v>0.9832483374839942</v>
      </c>
      <c r="N11" s="105">
        <f>E11-серпень!E11</f>
        <v>4020</v>
      </c>
      <c r="O11" s="144">
        <f>F11-серпень!F11</f>
        <v>1850.5499999999993</v>
      </c>
      <c r="P11" s="106">
        <f t="shared" si="7"/>
        <v>-2169.4500000000007</v>
      </c>
      <c r="Q11" s="104">
        <f t="shared" si="4"/>
        <v>46.03358208955222</v>
      </c>
      <c r="R11" s="37"/>
      <c r="S11" s="100" t="e">
        <f>#N/A</f>
        <v>#N/A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6180</v>
      </c>
      <c r="F12" s="140">
        <v>7338.85</v>
      </c>
      <c r="G12" s="103">
        <f t="shared" si="5"/>
        <v>1158.8500000000004</v>
      </c>
      <c r="H12" s="105">
        <f t="shared" si="6"/>
        <v>118.75161812297735</v>
      </c>
      <c r="I12" s="104">
        <f t="shared" si="0"/>
        <v>-941.1499999999996</v>
      </c>
      <c r="J12" s="104">
        <f t="shared" si="1"/>
        <v>88.6334541062802</v>
      </c>
      <c r="K12" s="106">
        <v>7409.72</v>
      </c>
      <c r="L12" s="106">
        <f t="shared" si="2"/>
        <v>-70.86999999999989</v>
      </c>
      <c r="M12" s="207">
        <f t="shared" si="3"/>
        <v>0.9904355360256528</v>
      </c>
      <c r="N12" s="105">
        <f>E12-серпень!E12</f>
        <v>900</v>
      </c>
      <c r="O12" s="144">
        <f>F12-серпень!F12</f>
        <v>710.5700000000006</v>
      </c>
      <c r="P12" s="106">
        <f t="shared" si="7"/>
        <v>-189.42999999999938</v>
      </c>
      <c r="Q12" s="104">
        <f t="shared" si="4"/>
        <v>78.95222222222229</v>
      </c>
      <c r="R12" s="37"/>
      <c r="S12" s="100" t="e">
        <f>#N/A</f>
        <v>#N/A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7590</v>
      </c>
      <c r="F13" s="140">
        <v>7790.64</v>
      </c>
      <c r="G13" s="103">
        <f t="shared" si="5"/>
        <v>200.64000000000033</v>
      </c>
      <c r="H13" s="105">
        <f t="shared" si="6"/>
        <v>102.64347826086957</v>
      </c>
      <c r="I13" s="104">
        <f t="shared" si="0"/>
        <v>-1599.3599999999997</v>
      </c>
      <c r="J13" s="104">
        <f t="shared" si="1"/>
        <v>82.96741214057508</v>
      </c>
      <c r="K13" s="106">
        <v>7511.25</v>
      </c>
      <c r="L13" s="106">
        <f t="shared" si="2"/>
        <v>279.3900000000003</v>
      </c>
      <c r="M13" s="207">
        <f t="shared" si="3"/>
        <v>1.0371962056914628</v>
      </c>
      <c r="N13" s="105">
        <f>E13-серпень!E13</f>
        <v>480</v>
      </c>
      <c r="O13" s="144">
        <f>F13-серпень!F13</f>
        <v>515.1800000000003</v>
      </c>
      <c r="P13" s="106">
        <f t="shared" si="7"/>
        <v>35.18000000000029</v>
      </c>
      <c r="Q13" s="104">
        <f t="shared" si="4"/>
        <v>107.32916666666672</v>
      </c>
      <c r="R13" s="37"/>
      <c r="S13" s="100" t="e">
        <f>#N/A</f>
        <v>#N/A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864</v>
      </c>
      <c r="F14" s="140">
        <v>1035.55</v>
      </c>
      <c r="G14" s="103">
        <f t="shared" si="5"/>
        <v>171.54999999999995</v>
      </c>
      <c r="H14" s="105">
        <f t="shared" si="6"/>
        <v>119.85532407407406</v>
      </c>
      <c r="I14" s="104">
        <f t="shared" si="0"/>
        <v>-116.45000000000005</v>
      </c>
      <c r="J14" s="104">
        <f t="shared" si="1"/>
        <v>89.89149305555554</v>
      </c>
      <c r="K14" s="106">
        <v>2638.91</v>
      </c>
      <c r="L14" s="106">
        <f t="shared" si="2"/>
        <v>-1603.36</v>
      </c>
      <c r="M14" s="207">
        <f t="shared" si="3"/>
        <v>0.39241580804195675</v>
      </c>
      <c r="N14" s="105">
        <f>E14-серпень!E14</f>
        <v>96</v>
      </c>
      <c r="O14" s="144">
        <f>F14-серпень!F14</f>
        <v>106.07999999999993</v>
      </c>
      <c r="P14" s="106">
        <f t="shared" si="7"/>
        <v>10.079999999999927</v>
      </c>
      <c r="Q14" s="104">
        <f t="shared" si="4"/>
        <v>110.49999999999993</v>
      </c>
      <c r="R14" s="37"/>
      <c r="S14" s="100" t="e">
        <f>#N/A</f>
        <v>#N/A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376.81</v>
      </c>
      <c r="G15" s="150">
        <f t="shared" si="5"/>
        <v>-74.19</v>
      </c>
      <c r="H15" s="157">
        <f t="shared" si="6"/>
        <v>83.54988913525499</v>
      </c>
      <c r="I15" s="158">
        <f t="shared" si="0"/>
        <v>-174.19</v>
      </c>
      <c r="J15" s="158">
        <f t="shared" si="1"/>
        <v>68.38656987295826</v>
      </c>
      <c r="K15" s="161">
        <v>386.82</v>
      </c>
      <c r="L15" s="161">
        <f t="shared" si="2"/>
        <v>-10.009999999999991</v>
      </c>
      <c r="M15" s="208">
        <f t="shared" si="3"/>
        <v>0.9741223307998552</v>
      </c>
      <c r="N15" s="157">
        <f>E15-серпень!E15</f>
        <v>0</v>
      </c>
      <c r="O15" s="160">
        <f>F15-серпень!F15</f>
        <v>51</v>
      </c>
      <c r="P15" s="161">
        <f t="shared" si="7"/>
        <v>51</v>
      </c>
      <c r="Q15" s="158" t="e">
        <f t="shared" si="4"/>
        <v>#DIV/0!</v>
      </c>
      <c r="R15" s="37">
        <v>0</v>
      </c>
      <c r="S15" s="100" t="e">
        <f>#N/A</f>
        <v>#N/A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5"/>
        <v>0</v>
      </c>
      <c r="H16" s="157" t="e">
        <f>F16/E16/100</f>
        <v>#DIV/0!</v>
      </c>
      <c r="I16" s="158">
        <f aca="true" t="shared" si="8" ref="I16:I40">F16-D16</f>
        <v>0</v>
      </c>
      <c r="J16" s="158" t="e">
        <f aca="true" t="shared" si="9" ref="J16:J39">F16/D16*100</f>
        <v>#DIV/0!</v>
      </c>
      <c r="K16" s="106">
        <v>0</v>
      </c>
      <c r="L16" s="161">
        <f t="shared" si="2"/>
        <v>0</v>
      </c>
      <c r="M16" s="208" t="e">
        <f t="shared" si="3"/>
        <v>#DIV/0!</v>
      </c>
      <c r="N16" s="157">
        <f>E16-серпень!E16</f>
        <v>0</v>
      </c>
      <c r="O16" s="160">
        <f>F16-серпень!F16</f>
        <v>0</v>
      </c>
      <c r="P16" s="161">
        <f t="shared" si="7"/>
        <v>0</v>
      </c>
      <c r="Q16" s="158" t="e">
        <f t="shared" si="4"/>
        <v>#DIV/0!</v>
      </c>
      <c r="R16" s="104">
        <f>O16-358.81</f>
        <v>-358.81</v>
      </c>
      <c r="S16" s="100" t="e">
        <f>#N/A</f>
        <v>#N/A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5"/>
        <v>0.49</v>
      </c>
      <c r="H17" s="157"/>
      <c r="I17" s="158">
        <f t="shared" si="8"/>
        <v>0.49</v>
      </c>
      <c r="J17" s="158"/>
      <c r="K17" s="167">
        <v>0.17</v>
      </c>
      <c r="L17" s="161">
        <f t="shared" si="2"/>
        <v>0.31999999999999995</v>
      </c>
      <c r="M17" s="208">
        <f t="shared" si="3"/>
        <v>2.88235294117647</v>
      </c>
      <c r="N17" s="157">
        <f>E17-серпень!E17</f>
        <v>0</v>
      </c>
      <c r="O17" s="160">
        <f>F17-серпень!F17</f>
        <v>0</v>
      </c>
      <c r="P17" s="161">
        <f t="shared" si="7"/>
        <v>0</v>
      </c>
      <c r="Q17" s="158"/>
      <c r="R17" s="104"/>
      <c r="S17" s="100" t="e">
        <f>#N/A</f>
        <v>#N/A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5"/>
        <v>57.46000000000001</v>
      </c>
      <c r="H18" s="157">
        <f>F18/E18*100</f>
        <v>163.84444444444446</v>
      </c>
      <c r="I18" s="158">
        <f t="shared" si="8"/>
        <v>22.460000000000008</v>
      </c>
      <c r="J18" s="158">
        <f t="shared" si="9"/>
        <v>117.968</v>
      </c>
      <c r="K18" s="161">
        <v>105.8</v>
      </c>
      <c r="L18" s="161">
        <f t="shared" si="2"/>
        <v>41.66000000000001</v>
      </c>
      <c r="M18" s="208">
        <f t="shared" si="3"/>
        <v>1.3937618147448017</v>
      </c>
      <c r="N18" s="157">
        <f>E18-серпень!E18</f>
        <v>0</v>
      </c>
      <c r="O18" s="160">
        <f>F18-серпень!F18</f>
        <v>0</v>
      </c>
      <c r="P18" s="161">
        <f t="shared" si="7"/>
        <v>0</v>
      </c>
      <c r="Q18" s="158" t="e">
        <f aca="true" t="shared" si="10" ref="Q18:Q24">O18/N18*100</f>
        <v>#DIV/0!</v>
      </c>
      <c r="R18" s="37">
        <v>0</v>
      </c>
      <c r="S18" s="100" t="e">
        <f>#N/A</f>
        <v>#N/A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94800</v>
      </c>
      <c r="F19" s="223">
        <v>65537.09</v>
      </c>
      <c r="G19" s="150">
        <f t="shared" si="5"/>
        <v>-29262.910000000003</v>
      </c>
      <c r="H19" s="157">
        <f aca="true" t="shared" si="11" ref="H19:H39">F19/E19*100</f>
        <v>69.13195147679325</v>
      </c>
      <c r="I19" s="158">
        <f t="shared" si="8"/>
        <v>-64462.91</v>
      </c>
      <c r="J19" s="158">
        <f t="shared" si="9"/>
        <v>50.41314615384616</v>
      </c>
      <c r="K19" s="161">
        <v>74352.8</v>
      </c>
      <c r="L19" s="161">
        <f t="shared" si="2"/>
        <v>-8815.710000000006</v>
      </c>
      <c r="M19" s="208">
        <f t="shared" si="3"/>
        <v>0.8814340549380789</v>
      </c>
      <c r="N19" s="157">
        <f>E19-серпень!E19</f>
        <v>11800</v>
      </c>
      <c r="O19" s="160">
        <f>F19-серпень!F19</f>
        <v>818.5599999999977</v>
      </c>
      <c r="P19" s="161">
        <f t="shared" si="7"/>
        <v>-10981.440000000002</v>
      </c>
      <c r="Q19" s="158">
        <f t="shared" si="10"/>
        <v>6.936949152542353</v>
      </c>
      <c r="R19" s="294">
        <v>8800</v>
      </c>
      <c r="S19" s="100" t="e">
        <f>#N/A</f>
        <v>#N/A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56250</v>
      </c>
      <c r="F20" s="201">
        <v>42284.71</v>
      </c>
      <c r="G20" s="253">
        <f t="shared" si="5"/>
        <v>-13965.29</v>
      </c>
      <c r="H20" s="195">
        <f t="shared" si="11"/>
        <v>75.17281777777778</v>
      </c>
      <c r="I20" s="254">
        <f t="shared" si="8"/>
        <v>-34215.29</v>
      </c>
      <c r="J20" s="254">
        <f t="shared" si="9"/>
        <v>55.274130718954254</v>
      </c>
      <c r="K20" s="166">
        <v>74352.8</v>
      </c>
      <c r="L20" s="166">
        <f t="shared" si="2"/>
        <v>-32068.090000000004</v>
      </c>
      <c r="M20" s="256">
        <f t="shared" si="3"/>
        <v>0.5687036668424054</v>
      </c>
      <c r="N20" s="195">
        <f>E20-серпень!E20</f>
        <v>6850</v>
      </c>
      <c r="O20" s="179">
        <f>F20-серпень!F20</f>
        <v>618.5599999999977</v>
      </c>
      <c r="P20" s="166">
        <f t="shared" si="7"/>
        <v>-6231.440000000002</v>
      </c>
      <c r="Q20" s="254">
        <f t="shared" si="10"/>
        <v>9.030072992700696</v>
      </c>
      <c r="R20" s="104">
        <v>4450</v>
      </c>
      <c r="S20" s="104" t="e">
        <f>#N/A</f>
        <v>#N/A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7750</v>
      </c>
      <c r="F21" s="201">
        <v>4942.32</v>
      </c>
      <c r="G21" s="253">
        <f t="shared" si="5"/>
        <v>-2807.6800000000003</v>
      </c>
      <c r="H21" s="195">
        <f t="shared" si="11"/>
        <v>63.771870967741926</v>
      </c>
      <c r="I21" s="254">
        <f t="shared" si="8"/>
        <v>-5757.68</v>
      </c>
      <c r="J21" s="254">
        <f t="shared" si="9"/>
        <v>46.18990654205607</v>
      </c>
      <c r="K21" s="255">
        <v>0</v>
      </c>
      <c r="L21" s="166">
        <f t="shared" si="2"/>
        <v>4942.32</v>
      </c>
      <c r="M21" s="256"/>
      <c r="N21" s="195">
        <f>E21-серпень!E21</f>
        <v>950</v>
      </c>
      <c r="O21" s="179">
        <f>F21-серпень!F21</f>
        <v>0</v>
      </c>
      <c r="P21" s="166">
        <f t="shared" si="7"/>
        <v>-950</v>
      </c>
      <c r="Q21" s="254">
        <f t="shared" si="10"/>
        <v>0</v>
      </c>
      <c r="R21" s="104">
        <v>900</v>
      </c>
      <c r="S21" s="104" t="e">
        <f>#N/A</f>
        <v>#N/A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30800</v>
      </c>
      <c r="F22" s="201">
        <v>18110.05</v>
      </c>
      <c r="G22" s="253">
        <f t="shared" si="5"/>
        <v>-12689.95</v>
      </c>
      <c r="H22" s="195">
        <f t="shared" si="11"/>
        <v>58.79886363636363</v>
      </c>
      <c r="I22" s="254">
        <f t="shared" si="8"/>
        <v>-24689.95</v>
      </c>
      <c r="J22" s="254">
        <f t="shared" si="9"/>
        <v>42.313200934579434</v>
      </c>
      <c r="K22" s="255">
        <v>0</v>
      </c>
      <c r="L22" s="166">
        <f t="shared" si="2"/>
        <v>18110.05</v>
      </c>
      <c r="M22" s="256"/>
      <c r="N22" s="195">
        <f>E22-серпень!E22</f>
        <v>4000</v>
      </c>
      <c r="O22" s="179">
        <f>F22-серпень!F22</f>
        <v>0</v>
      </c>
      <c r="P22" s="166">
        <f t="shared" si="7"/>
        <v>-4000</v>
      </c>
      <c r="Q22" s="254">
        <f t="shared" si="10"/>
        <v>0</v>
      </c>
      <c r="R22" s="104">
        <v>3800</v>
      </c>
      <c r="S22" s="104" t="e">
        <f>#N/A</f>
        <v>#N/A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304150.6</v>
      </c>
      <c r="F23" s="223">
        <f>F24+F32+F33+F34+F35</f>
        <v>303105.76</v>
      </c>
      <c r="G23" s="150">
        <f t="shared" si="5"/>
        <v>-1044.8399999999674</v>
      </c>
      <c r="H23" s="157">
        <f t="shared" si="11"/>
        <v>99.6564728131393</v>
      </c>
      <c r="I23" s="158">
        <f t="shared" si="8"/>
        <v>-98024.33999999997</v>
      </c>
      <c r="J23" s="158">
        <f t="shared" si="9"/>
        <v>75.56295575924122</v>
      </c>
      <c r="K23" s="158">
        <v>247866.66</v>
      </c>
      <c r="L23" s="161">
        <f t="shared" si="2"/>
        <v>55239.100000000006</v>
      </c>
      <c r="M23" s="209">
        <f aca="true" t="shared" si="12" ref="M23:M31">F23/K23</f>
        <v>1.2228581286406166</v>
      </c>
      <c r="N23" s="157">
        <f>E23-серпень!E23</f>
        <v>23120.399999999965</v>
      </c>
      <c r="O23" s="160">
        <f>F23-серпень!F23</f>
        <v>15004.849999999977</v>
      </c>
      <c r="P23" s="161">
        <f t="shared" si="7"/>
        <v>-8115.549999999988</v>
      </c>
      <c r="Q23" s="158">
        <f t="shared" si="10"/>
        <v>64.89874742651511</v>
      </c>
      <c r="R23" s="288">
        <f>R24+R33+R35</f>
        <v>22714</v>
      </c>
      <c r="S23" s="294" t="e">
        <f>#N/A</f>
        <v>#N/A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154158.9</v>
      </c>
      <c r="F24" s="223">
        <f>F25+F28+F29</f>
        <v>145486.81</v>
      </c>
      <c r="G24" s="150">
        <f t="shared" si="5"/>
        <v>-8672.089999999997</v>
      </c>
      <c r="H24" s="157">
        <f t="shared" si="11"/>
        <v>94.3745771408592</v>
      </c>
      <c r="I24" s="158">
        <f t="shared" si="8"/>
        <v>-61134.19</v>
      </c>
      <c r="J24" s="158">
        <f t="shared" si="9"/>
        <v>70.41240241795364</v>
      </c>
      <c r="K24" s="158">
        <v>135815.8</v>
      </c>
      <c r="L24" s="161">
        <f t="shared" si="2"/>
        <v>9671.01000000001</v>
      </c>
      <c r="M24" s="209">
        <f t="shared" si="12"/>
        <v>1.0712068109895905</v>
      </c>
      <c r="N24" s="157">
        <f>E24-серпень!E24</f>
        <v>16613</v>
      </c>
      <c r="O24" s="160">
        <f>F24-серпень!F24</f>
        <v>8331.149999999994</v>
      </c>
      <c r="P24" s="161">
        <f t="shared" si="7"/>
        <v>-8281.850000000006</v>
      </c>
      <c r="Q24" s="158">
        <f t="shared" si="10"/>
        <v>50.1483777764401</v>
      </c>
      <c r="R24" s="293">
        <f>R25+R28+R29</f>
        <v>15007</v>
      </c>
      <c r="S24" s="293" t="e">
        <f>#N/A</f>
        <v>#N/A</v>
      </c>
    </row>
    <row r="25" spans="1:19" s="6" customFormat="1" ht="18">
      <c r="A25" s="8"/>
      <c r="B25" s="50" t="s">
        <v>74</v>
      </c>
      <c r="C25" s="123"/>
      <c r="D25" s="253">
        <v>22809</v>
      </c>
      <c r="E25" s="303">
        <v>17259.1</v>
      </c>
      <c r="F25" s="201">
        <v>17538.91</v>
      </c>
      <c r="G25" s="253">
        <f t="shared" si="5"/>
        <v>279.8100000000013</v>
      </c>
      <c r="H25" s="195">
        <f t="shared" si="11"/>
        <v>101.62123169806074</v>
      </c>
      <c r="I25" s="254">
        <f t="shared" si="8"/>
        <v>-5270.09</v>
      </c>
      <c r="J25" s="254">
        <f t="shared" si="9"/>
        <v>76.8946906922706</v>
      </c>
      <c r="K25" s="304">
        <v>15758.82</v>
      </c>
      <c r="L25" s="166">
        <f t="shared" si="2"/>
        <v>1780.0900000000001</v>
      </c>
      <c r="M25" s="215">
        <f t="shared" si="12"/>
        <v>1.112958330636431</v>
      </c>
      <c r="N25" s="195">
        <f>E25-серпень!E25</f>
        <v>904.9999999999982</v>
      </c>
      <c r="O25" s="179">
        <f>F25-серпень!F25</f>
        <v>638.7599999999984</v>
      </c>
      <c r="P25" s="166">
        <f t="shared" si="7"/>
        <v>-266.2399999999998</v>
      </c>
      <c r="Q25" s="254">
        <f aca="true" t="shared" si="13" ref="Q25:Q35">O25/N25*100</f>
        <v>70.58121546961323</v>
      </c>
      <c r="R25" s="104">
        <v>800</v>
      </c>
      <c r="S25" s="104" t="e">
        <f>#N/A</f>
        <v>#N/A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1370</v>
      </c>
      <c r="F26" s="199">
        <v>1016.69</v>
      </c>
      <c r="G26" s="223">
        <f t="shared" si="5"/>
        <v>-353.30999999999995</v>
      </c>
      <c r="H26" s="237">
        <f t="shared" si="11"/>
        <v>74.2109489051095</v>
      </c>
      <c r="I26" s="299">
        <f t="shared" si="8"/>
        <v>-805.6099999999999</v>
      </c>
      <c r="J26" s="299">
        <f t="shared" si="9"/>
        <v>55.791582066619114</v>
      </c>
      <c r="K26" s="200">
        <v>668.85</v>
      </c>
      <c r="L26" s="200">
        <f>K26-F26</f>
        <v>-347.84000000000003</v>
      </c>
      <c r="M26" s="228">
        <f t="shared" si="12"/>
        <v>1.520056813934365</v>
      </c>
      <c r="N26" s="237">
        <f>E26-серпень!E26</f>
        <v>105</v>
      </c>
      <c r="O26" s="237">
        <f>F26-серпень!F26</f>
        <v>193.74</v>
      </c>
      <c r="P26" s="299">
        <f t="shared" si="7"/>
        <v>88.74000000000001</v>
      </c>
      <c r="Q26" s="299">
        <f t="shared" si="13"/>
        <v>184.51428571428573</v>
      </c>
      <c r="R26" s="104"/>
      <c r="S26" s="104" t="e">
        <f>#N/A</f>
        <v>#N/A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15889.1</v>
      </c>
      <c r="F27" s="199">
        <v>16522.22</v>
      </c>
      <c r="G27" s="223">
        <f t="shared" si="5"/>
        <v>633.1200000000008</v>
      </c>
      <c r="H27" s="237">
        <f t="shared" si="11"/>
        <v>103.98461838618928</v>
      </c>
      <c r="I27" s="299">
        <f t="shared" si="8"/>
        <v>-4464.48</v>
      </c>
      <c r="J27" s="299">
        <f t="shared" si="9"/>
        <v>78.7270985910124</v>
      </c>
      <c r="K27" s="200">
        <v>15089.97</v>
      </c>
      <c r="L27" s="200">
        <f>K27-F27</f>
        <v>-1432.2500000000018</v>
      </c>
      <c r="M27" s="228">
        <f t="shared" si="12"/>
        <v>1.0949140389278442</v>
      </c>
      <c r="N27" s="237">
        <f>E27-серпень!E27</f>
        <v>800</v>
      </c>
      <c r="O27" s="237">
        <f>F27-серпень!F27</f>
        <v>445.01000000000204</v>
      </c>
      <c r="P27" s="299">
        <f t="shared" si="7"/>
        <v>-354.98999999999796</v>
      </c>
      <c r="Q27" s="299">
        <f t="shared" si="13"/>
        <v>55.626250000000255</v>
      </c>
      <c r="R27" s="104"/>
      <c r="S27" s="104" t="e">
        <f>#N/A</f>
        <v>#N/A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466.8</v>
      </c>
      <c r="F28" s="172">
        <v>2.84</v>
      </c>
      <c r="G28" s="253">
        <f t="shared" si="5"/>
        <v>-463.96000000000004</v>
      </c>
      <c r="H28" s="195">
        <f t="shared" si="11"/>
        <v>0.6083976006855184</v>
      </c>
      <c r="I28" s="254">
        <f t="shared" si="8"/>
        <v>-817.16</v>
      </c>
      <c r="J28" s="254">
        <f t="shared" si="9"/>
        <v>0.3463414634146342</v>
      </c>
      <c r="K28" s="174">
        <v>777.34</v>
      </c>
      <c r="L28" s="174">
        <f aca="true" t="shared" si="14" ref="L28:L42">F28-K28</f>
        <v>-774.5</v>
      </c>
      <c r="M28" s="212">
        <f t="shared" si="12"/>
        <v>0.0036534849615354925</v>
      </c>
      <c r="N28" s="195">
        <f>E28-серпень!E28</f>
        <v>105</v>
      </c>
      <c r="O28" s="179">
        <f>F28-серпень!F28</f>
        <v>8.34</v>
      </c>
      <c r="P28" s="166">
        <f t="shared" si="7"/>
        <v>-96.66</v>
      </c>
      <c r="Q28" s="254">
        <f t="shared" si="13"/>
        <v>7.942857142857143</v>
      </c>
      <c r="R28" s="104">
        <v>-25</v>
      </c>
      <c r="S28" s="104" t="e">
        <f>#N/A</f>
        <v>#N/A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136433</v>
      </c>
      <c r="F29" s="172">
        <v>127945.06</v>
      </c>
      <c r="G29" s="150">
        <f t="shared" si="5"/>
        <v>-8487.940000000002</v>
      </c>
      <c r="H29" s="195">
        <f t="shared" si="11"/>
        <v>93.77867524719092</v>
      </c>
      <c r="I29" s="254">
        <f t="shared" si="8"/>
        <v>-55046.94</v>
      </c>
      <c r="J29" s="254">
        <f t="shared" si="9"/>
        <v>69.91838987496722</v>
      </c>
      <c r="K29" s="175">
        <v>119279.65</v>
      </c>
      <c r="L29" s="175">
        <f t="shared" si="14"/>
        <v>8665.410000000003</v>
      </c>
      <c r="M29" s="211">
        <f t="shared" si="12"/>
        <v>1.0726478489834603</v>
      </c>
      <c r="N29" s="195">
        <f>E29-серпень!E29</f>
        <v>15603</v>
      </c>
      <c r="O29" s="179">
        <f>F29-серпень!F29</f>
        <v>7684.050000000003</v>
      </c>
      <c r="P29" s="166">
        <f t="shared" si="7"/>
        <v>-7918.949999999997</v>
      </c>
      <c r="Q29" s="254">
        <f t="shared" si="13"/>
        <v>49.247260142280346</v>
      </c>
      <c r="R29" s="104">
        <v>14232</v>
      </c>
      <c r="S29" s="104" t="e">
        <f>#N/A</f>
        <v>#N/A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43133</v>
      </c>
      <c r="F30" s="199">
        <v>41842.41</v>
      </c>
      <c r="G30" s="223">
        <f t="shared" si="5"/>
        <v>-1290.5899999999965</v>
      </c>
      <c r="H30" s="237">
        <f t="shared" si="11"/>
        <v>97.0078825956924</v>
      </c>
      <c r="I30" s="299">
        <f t="shared" si="8"/>
        <v>-15690.589999999997</v>
      </c>
      <c r="J30" s="299">
        <f t="shared" si="9"/>
        <v>72.72766933759756</v>
      </c>
      <c r="K30" s="200">
        <v>37996.12</v>
      </c>
      <c r="L30" s="200">
        <f t="shared" si="14"/>
        <v>3846.290000000001</v>
      </c>
      <c r="M30" s="228">
        <f t="shared" si="12"/>
        <v>1.1012284938567412</v>
      </c>
      <c r="N30" s="237">
        <f>E30-серпень!E30</f>
        <v>4918</v>
      </c>
      <c r="O30" s="237">
        <f>F30-серпень!F30</f>
        <v>1128.6400000000067</v>
      </c>
      <c r="P30" s="299">
        <f t="shared" si="7"/>
        <v>-3789.3599999999933</v>
      </c>
      <c r="Q30" s="299">
        <f t="shared" si="13"/>
        <v>22.949166327775654</v>
      </c>
      <c r="R30" s="107"/>
      <c r="S30" s="100" t="e">
        <f>#N/A</f>
        <v>#N/A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93300</v>
      </c>
      <c r="F31" s="199">
        <v>86102.65</v>
      </c>
      <c r="G31" s="223">
        <f t="shared" si="5"/>
        <v>-7197.350000000006</v>
      </c>
      <c r="H31" s="237">
        <f t="shared" si="11"/>
        <v>92.2857984994641</v>
      </c>
      <c r="I31" s="299">
        <f t="shared" si="8"/>
        <v>-39356.350000000006</v>
      </c>
      <c r="J31" s="299">
        <f t="shared" si="9"/>
        <v>68.63011023521628</v>
      </c>
      <c r="K31" s="200">
        <v>81283.52</v>
      </c>
      <c r="L31" s="200">
        <f t="shared" si="14"/>
        <v>4819.12999999999</v>
      </c>
      <c r="M31" s="228">
        <f t="shared" si="12"/>
        <v>1.0592879097755608</v>
      </c>
      <c r="N31" s="237">
        <f>E31-серпень!E31</f>
        <v>10685</v>
      </c>
      <c r="O31" s="237">
        <f>F31-серпень!F31</f>
        <v>6555.409999999989</v>
      </c>
      <c r="P31" s="299">
        <f t="shared" si="7"/>
        <v>-4129.590000000011</v>
      </c>
      <c r="Q31" s="299">
        <f t="shared" si="13"/>
        <v>61.35152082358436</v>
      </c>
      <c r="R31" s="107"/>
      <c r="S31" s="100" t="e">
        <f>#N/A</f>
        <v>#N/A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5"/>
        <v>0.2</v>
      </c>
      <c r="H32" s="157"/>
      <c r="I32" s="158">
        <f t="shared" si="8"/>
        <v>0.2</v>
      </c>
      <c r="J32" s="158"/>
      <c r="K32" s="167">
        <v>0.15</v>
      </c>
      <c r="L32" s="158">
        <f t="shared" si="14"/>
        <v>0.05000000000000002</v>
      </c>
      <c r="M32" s="210"/>
      <c r="N32" s="157">
        <f>E32-серпень!E32</f>
        <v>0</v>
      </c>
      <c r="O32" s="160">
        <f>F32-серпень!F32</f>
        <v>0</v>
      </c>
      <c r="P32" s="161">
        <f t="shared" si="7"/>
        <v>0</v>
      </c>
      <c r="Q32" s="158"/>
      <c r="R32" s="293"/>
      <c r="S32" s="293" t="e">
        <f>#N/A</f>
        <v>#N/A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79</v>
      </c>
      <c r="F33" s="156">
        <v>116.06</v>
      </c>
      <c r="G33" s="150">
        <f t="shared" si="5"/>
        <v>37.06</v>
      </c>
      <c r="H33" s="157">
        <f t="shared" si="11"/>
        <v>146.9113924050633</v>
      </c>
      <c r="I33" s="158">
        <f t="shared" si="8"/>
        <v>1.0600000000000023</v>
      </c>
      <c r="J33" s="158">
        <f t="shared" si="9"/>
        <v>100.92173913043479</v>
      </c>
      <c r="K33" s="158">
        <v>87.95</v>
      </c>
      <c r="L33" s="158">
        <f t="shared" si="14"/>
        <v>28.11</v>
      </c>
      <c r="M33" s="210">
        <f aca="true" t="shared" si="15" ref="M33:M39">F33/K33</f>
        <v>1.319613416714042</v>
      </c>
      <c r="N33" s="157">
        <f>E33-серпень!E33</f>
        <v>7.400000000000006</v>
      </c>
      <c r="O33" s="160">
        <f>F33-серпень!F33</f>
        <v>2</v>
      </c>
      <c r="P33" s="161">
        <f t="shared" si="7"/>
        <v>-5.400000000000006</v>
      </c>
      <c r="Q33" s="158">
        <f t="shared" si="13"/>
        <v>27.027027027027007</v>
      </c>
      <c r="R33" s="293">
        <v>7</v>
      </c>
      <c r="S33" s="293" t="e">
        <f>#N/A</f>
        <v>#N/A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-43.12</v>
      </c>
      <c r="G34" s="150">
        <f t="shared" si="5"/>
        <v>-43.12</v>
      </c>
      <c r="H34" s="157"/>
      <c r="I34" s="158">
        <f t="shared" si="8"/>
        <v>-43.12</v>
      </c>
      <c r="J34" s="158"/>
      <c r="K34" s="158">
        <v>-160.1</v>
      </c>
      <c r="L34" s="158">
        <f t="shared" si="14"/>
        <v>116.97999999999999</v>
      </c>
      <c r="M34" s="210">
        <f t="shared" si="15"/>
        <v>0.2693316677076827</v>
      </c>
      <c r="N34" s="157">
        <f>E34-серпень!E34</f>
        <v>0</v>
      </c>
      <c r="O34" s="160">
        <f>F34-серпень!F34</f>
        <v>-4.909999999999997</v>
      </c>
      <c r="P34" s="161">
        <f t="shared" si="7"/>
        <v>-4.909999999999997</v>
      </c>
      <c r="Q34" s="158"/>
      <c r="R34" s="293"/>
      <c r="S34" s="293" t="e">
        <f>#N/A</f>
        <v>#N/A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149912.7</v>
      </c>
      <c r="F35" s="163">
        <v>157545.81</v>
      </c>
      <c r="G35" s="150">
        <f t="shared" si="5"/>
        <v>7633.109999999986</v>
      </c>
      <c r="H35" s="157">
        <f t="shared" si="11"/>
        <v>105.09170337136213</v>
      </c>
      <c r="I35" s="158">
        <f t="shared" si="8"/>
        <v>-36848.29000000001</v>
      </c>
      <c r="J35" s="158">
        <f t="shared" si="9"/>
        <v>81.0445430185381</v>
      </c>
      <c r="K35" s="178">
        <v>112122.86</v>
      </c>
      <c r="L35" s="178">
        <f t="shared" si="14"/>
        <v>45422.95</v>
      </c>
      <c r="M35" s="226">
        <f t="shared" si="15"/>
        <v>1.4051176539735073</v>
      </c>
      <c r="N35" s="157">
        <f>E35-серпень!E35</f>
        <v>6500</v>
      </c>
      <c r="O35" s="160">
        <f>F35-серпень!F35</f>
        <v>6676.609999999986</v>
      </c>
      <c r="P35" s="161">
        <f t="shared" si="7"/>
        <v>176.60999999998603</v>
      </c>
      <c r="Q35" s="158">
        <f t="shared" si="13"/>
        <v>102.7170769230767</v>
      </c>
      <c r="R35" s="293">
        <v>7700</v>
      </c>
      <c r="S35" s="293" t="e">
        <f>#N/A</f>
        <v>#N/A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8"/>
        <v>0.01</v>
      </c>
      <c r="J36" s="104"/>
      <c r="K36" s="127">
        <v>0.23</v>
      </c>
      <c r="L36" s="127">
        <f t="shared" si="14"/>
        <v>-0.22</v>
      </c>
      <c r="M36" s="216">
        <f t="shared" si="15"/>
        <v>0.043478260869565216</v>
      </c>
      <c r="N36" s="105">
        <f>E36-серпень!E36</f>
        <v>0</v>
      </c>
      <c r="O36" s="144">
        <f>F36-серпень!F36</f>
        <v>0</v>
      </c>
      <c r="P36" s="106">
        <f t="shared" si="7"/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30520</v>
      </c>
      <c r="F37" s="140">
        <v>30734.62</v>
      </c>
      <c r="G37" s="103">
        <f>F37-E37</f>
        <v>214.61999999999898</v>
      </c>
      <c r="H37" s="105">
        <f t="shared" si="11"/>
        <v>100.7032110091743</v>
      </c>
      <c r="I37" s="104">
        <f t="shared" si="8"/>
        <v>-10265.380000000001</v>
      </c>
      <c r="J37" s="104">
        <f t="shared" si="9"/>
        <v>74.96248780487804</v>
      </c>
      <c r="K37" s="127">
        <v>28340.41</v>
      </c>
      <c r="L37" s="127">
        <f t="shared" si="14"/>
        <v>2394.209999999999</v>
      </c>
      <c r="M37" s="216">
        <f t="shared" si="15"/>
        <v>1.0844804291822172</v>
      </c>
      <c r="N37" s="105">
        <f>E37-серпень!E37</f>
        <v>1000</v>
      </c>
      <c r="O37" s="144">
        <f>F37-серпень!F37</f>
        <v>571.2000000000007</v>
      </c>
      <c r="P37" s="106">
        <f t="shared" si="7"/>
        <v>-428.7999999999993</v>
      </c>
      <c r="Q37" s="104">
        <f>O37/N37*100</f>
        <v>57.12000000000007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119360</v>
      </c>
      <c r="F38" s="140">
        <v>126614.47</v>
      </c>
      <c r="G38" s="103">
        <f>F38-E38</f>
        <v>7254.470000000001</v>
      </c>
      <c r="H38" s="105">
        <f t="shared" si="11"/>
        <v>106.07780663538875</v>
      </c>
      <c r="I38" s="104">
        <f t="shared" si="8"/>
        <v>-26724.630000000005</v>
      </c>
      <c r="J38" s="104">
        <f t="shared" si="9"/>
        <v>82.5715489395725</v>
      </c>
      <c r="K38" s="127">
        <v>83755.8</v>
      </c>
      <c r="L38" s="127">
        <f t="shared" si="14"/>
        <v>42858.67</v>
      </c>
      <c r="M38" s="216">
        <f t="shared" si="15"/>
        <v>1.5117098756145844</v>
      </c>
      <c r="N38" s="105">
        <f>E38-серпень!E38</f>
        <v>5500</v>
      </c>
      <c r="O38" s="144">
        <f>F38-серпень!F38</f>
        <v>5938.779999999999</v>
      </c>
      <c r="P38" s="106">
        <f t="shared" si="7"/>
        <v>438.77999999999884</v>
      </c>
      <c r="Q38" s="104">
        <f>O38/N38*100</f>
        <v>107.97781818181815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F39-E39</f>
        <v>-2.6300000000000026</v>
      </c>
      <c r="H39" s="105">
        <f t="shared" si="11"/>
        <v>91.95718654434249</v>
      </c>
      <c r="I39" s="104">
        <f t="shared" si="8"/>
        <v>-24.93</v>
      </c>
      <c r="J39" s="104">
        <f t="shared" si="9"/>
        <v>54.67272727272727</v>
      </c>
      <c r="K39" s="127">
        <v>26.42</v>
      </c>
      <c r="L39" s="127">
        <f t="shared" si="14"/>
        <v>3.6499999999999986</v>
      </c>
      <c r="M39" s="216">
        <f t="shared" si="15"/>
        <v>1.1381529144587432</v>
      </c>
      <c r="N39" s="105">
        <f>E39-серпень!E39</f>
        <v>0</v>
      </c>
      <c r="O39" s="144">
        <f>F39-серпень!F39</f>
        <v>0</v>
      </c>
      <c r="P39" s="106">
        <f t="shared" si="7"/>
        <v>0</v>
      </c>
      <c r="Q39" s="104"/>
      <c r="R39" s="107"/>
      <c r="S39" s="107"/>
    </row>
    <row r="40" spans="1:19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8"/>
        <v>0</v>
      </c>
      <c r="J40" s="37"/>
      <c r="K40" s="119">
        <v>0</v>
      </c>
      <c r="L40" s="119">
        <f t="shared" si="14"/>
        <v>0</v>
      </c>
      <c r="M40" s="217"/>
      <c r="N40" s="137">
        <f>E40-серпень!E40</f>
        <v>0</v>
      </c>
      <c r="O40" s="145">
        <f>F40-серпень!F40</f>
        <v>0</v>
      </c>
      <c r="P40" s="161">
        <f t="shared" si="7"/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45548.3</v>
      </c>
      <c r="F41" s="151">
        <f>F42+F43+F44+F45+F46+F48+F50+F51+F52+F53+F54+F59+F60+F64+F47+F49</f>
        <v>52426.17999999999</v>
      </c>
      <c r="G41" s="151">
        <f>G42+G43+G44+G45+G46+G48+G50+G51+G52+G53+G54+G59+G60+G64+G47+G49</f>
        <v>6877.879999999997</v>
      </c>
      <c r="H41" s="151">
        <f>H42+H43+H44+H45+H46+H48+H50+H51+H52+H53+H54+H59+H60+H64+H47+H49</f>
        <v>6877.879999999997</v>
      </c>
      <c r="I41" s="153">
        <f>F41-D41</f>
        <v>-6598.820000000007</v>
      </c>
      <c r="J41" s="153">
        <f>F41/D41*100</f>
        <v>88.82029648454044</v>
      </c>
      <c r="K41" s="287">
        <v>49446.88</v>
      </c>
      <c r="L41" s="151">
        <f t="shared" si="14"/>
        <v>2979.2999999999956</v>
      </c>
      <c r="M41" s="205">
        <f>F41/K41</f>
        <v>1.060252537672751</v>
      </c>
      <c r="N41" s="151">
        <f>N42+N43+N44+N45+N46+N48+N50+N51+N52+N53+N54+N59+N60+N64+N47+N49</f>
        <v>4970.8</v>
      </c>
      <c r="O41" s="151">
        <f>O42+O43+O44+O45+O46+O48+O50+O51+O52+O53+O54+O59+O60+O64+O47+O49</f>
        <v>5011.279999999998</v>
      </c>
      <c r="P41" s="151">
        <f>P42+P43+P44+P45+P46+P48+P50+P51+P52+P53+P54+P59+P60+P64</f>
        <v>40.479999999998</v>
      </c>
      <c r="Q41" s="151">
        <f>O41/N41*100</f>
        <v>100.81435583809441</v>
      </c>
      <c r="R41" s="15">
        <f>R42+R43+R44+R45+R46+R47+R48+R50+R51+R52+R53+R54+R59+R60+R64</f>
        <v>5598.5</v>
      </c>
      <c r="S41" s="15">
        <f>O41-R41</f>
        <v>-587.2200000000021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3558.84</v>
      </c>
      <c r="G42" s="150">
        <f aca="true" t="shared" si="16" ref="G42:G66">F42-E42</f>
        <v>3078.84</v>
      </c>
      <c r="H42" s="164">
        <f>F42-E42</f>
        <v>3078.84</v>
      </c>
      <c r="I42" s="165">
        <f>F42-D42</f>
        <v>2978.84</v>
      </c>
      <c r="J42" s="165">
        <f>F42/D42*100</f>
        <v>613.5931034482759</v>
      </c>
      <c r="K42" s="165">
        <v>420.88</v>
      </c>
      <c r="L42" s="165">
        <f t="shared" si="14"/>
        <v>3137.96</v>
      </c>
      <c r="M42" s="218">
        <f>F42/K42</f>
        <v>8.45571184185516</v>
      </c>
      <c r="N42" s="157">
        <f>E42-серпень!E42</f>
        <v>0</v>
      </c>
      <c r="O42" s="160">
        <f>F42-серпень!F42</f>
        <v>0.9400000000000546</v>
      </c>
      <c r="P42" s="161">
        <f aca="true" t="shared" si="17" ref="P42:P66">O42-N42</f>
        <v>0.9400000000000546</v>
      </c>
      <c r="Q42" s="165" t="e">
        <f>O42/N42</f>
        <v>#DIV/0!</v>
      </c>
      <c r="R42" s="37">
        <v>0</v>
      </c>
      <c r="S42" s="37">
        <f>O42-R42</f>
        <v>0.9400000000000546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22100</v>
      </c>
      <c r="F43" s="156">
        <v>20495.01</v>
      </c>
      <c r="G43" s="150">
        <f t="shared" si="16"/>
        <v>-1604.9900000000016</v>
      </c>
      <c r="H43" s="164">
        <f aca="true" t="shared" si="18" ref="H43:H66">F43-E43</f>
        <v>-1604.9900000000016</v>
      </c>
      <c r="I43" s="165">
        <f aca="true" t="shared" si="19" ref="I43:I66">F43-D43</f>
        <v>-9504.990000000002</v>
      </c>
      <c r="J43" s="165">
        <f>F43/D43*100</f>
        <v>68.3167</v>
      </c>
      <c r="K43" s="165">
        <v>24166.13</v>
      </c>
      <c r="L43" s="165">
        <f aca="true" t="shared" si="20" ref="L43:L66">F43-K43</f>
        <v>-3671.1200000000026</v>
      </c>
      <c r="M43" s="218">
        <f aca="true" t="shared" si="21" ref="M43:M66">F43/K43</f>
        <v>0.8480882127175513</v>
      </c>
      <c r="N43" s="157">
        <f>E43-серпень!E43</f>
        <v>2800</v>
      </c>
      <c r="O43" s="160">
        <f>F43-серпень!F43</f>
        <v>2426.869999999999</v>
      </c>
      <c r="P43" s="161">
        <f t="shared" si="17"/>
        <v>-373.130000000001</v>
      </c>
      <c r="Q43" s="165">
        <f aca="true" t="shared" si="22" ref="Q43:Q65">O43/N43</f>
        <v>0.8667392857142854</v>
      </c>
      <c r="R43" s="37">
        <v>2874.5</v>
      </c>
      <c r="S43" s="37" t="e">
        <f>#N/A</f>
        <v>#N/A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25</v>
      </c>
      <c r="F44" s="156">
        <v>123.3</v>
      </c>
      <c r="G44" s="150">
        <f t="shared" si="16"/>
        <v>98.3</v>
      </c>
      <c r="H44" s="164">
        <f t="shared" si="18"/>
        <v>98.3</v>
      </c>
      <c r="I44" s="165">
        <f t="shared" si="19"/>
        <v>83.3</v>
      </c>
      <c r="J44" s="165">
        <f aca="true" t="shared" si="23" ref="J44:J65">F44/D44*100</f>
        <v>308.25</v>
      </c>
      <c r="K44" s="165">
        <v>31.98</v>
      </c>
      <c r="L44" s="165">
        <f t="shared" si="20"/>
        <v>91.32</v>
      </c>
      <c r="M44" s="218">
        <f t="shared" si="21"/>
        <v>3.8555347091932455</v>
      </c>
      <c r="N44" s="157">
        <f>E44-серпень!E44</f>
        <v>1</v>
      </c>
      <c r="O44" s="160">
        <f>F44-серпень!F44</f>
        <v>0</v>
      </c>
      <c r="P44" s="161">
        <f t="shared" si="17"/>
        <v>-1</v>
      </c>
      <c r="Q44" s="165">
        <f t="shared" si="22"/>
        <v>0</v>
      </c>
      <c r="R44" s="37">
        <v>10</v>
      </c>
      <c r="S44" s="37" t="e">
        <f>#N/A</f>
        <v>#N/A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>
        <f t="shared" si="18"/>
        <v>12.95</v>
      </c>
      <c r="I45" s="165">
        <f t="shared" si="19"/>
        <v>12.95</v>
      </c>
      <c r="J45" s="165"/>
      <c r="K45" s="165">
        <v>0.1</v>
      </c>
      <c r="L45" s="165">
        <f t="shared" si="20"/>
        <v>12.85</v>
      </c>
      <c r="M45" s="218"/>
      <c r="N45" s="157">
        <f>E45-серпень!E45</f>
        <v>0</v>
      </c>
      <c r="O45" s="160">
        <f>F45-серпень!F45</f>
        <v>0</v>
      </c>
      <c r="P45" s="161">
        <f t="shared" si="17"/>
        <v>0</v>
      </c>
      <c r="Q45" s="165"/>
      <c r="R45" s="37">
        <v>0</v>
      </c>
      <c r="S45" s="37" t="e">
        <f>#N/A</f>
        <v>#N/A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194</v>
      </c>
      <c r="F46" s="156">
        <v>616.69</v>
      </c>
      <c r="G46" s="150">
        <f t="shared" si="16"/>
        <v>422.69000000000005</v>
      </c>
      <c r="H46" s="164">
        <f t="shared" si="18"/>
        <v>422.69000000000005</v>
      </c>
      <c r="I46" s="165">
        <f t="shared" si="19"/>
        <v>356.69000000000005</v>
      </c>
      <c r="J46" s="165">
        <f t="shared" si="23"/>
        <v>237.18846153846158</v>
      </c>
      <c r="K46" s="165">
        <v>197.12</v>
      </c>
      <c r="L46" s="165">
        <f t="shared" si="20"/>
        <v>419.57000000000005</v>
      </c>
      <c r="M46" s="218">
        <f t="shared" si="21"/>
        <v>3.128500405844156</v>
      </c>
      <c r="N46" s="157">
        <f>E46-серпень!E46</f>
        <v>22</v>
      </c>
      <c r="O46" s="160">
        <f>F46-серпень!F46</f>
        <v>17.540000000000077</v>
      </c>
      <c r="P46" s="161">
        <f t="shared" si="17"/>
        <v>-4.459999999999923</v>
      </c>
      <c r="Q46" s="165">
        <f t="shared" si="22"/>
        <v>0.7972727272727308</v>
      </c>
      <c r="R46" s="37">
        <v>70</v>
      </c>
      <c r="S46" s="37" t="e">
        <f>#N/A</f>
        <v>#N/A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74.8</v>
      </c>
      <c r="F47" s="156">
        <v>78.43</v>
      </c>
      <c r="G47" s="150">
        <f t="shared" si="16"/>
        <v>3.6300000000000097</v>
      </c>
      <c r="H47" s="164">
        <f t="shared" si="18"/>
        <v>3.6300000000000097</v>
      </c>
      <c r="I47" s="165">
        <f t="shared" si="19"/>
        <v>-19.069999999999993</v>
      </c>
      <c r="J47" s="165">
        <f t="shared" si="23"/>
        <v>80.44102564102565</v>
      </c>
      <c r="K47" s="165">
        <v>41.15</v>
      </c>
      <c r="L47" s="165">
        <f t="shared" si="20"/>
        <v>37.28000000000001</v>
      </c>
      <c r="M47" s="218">
        <f t="shared" si="21"/>
        <v>1.9059538274605106</v>
      </c>
      <c r="N47" s="157">
        <f>E47-серпень!E47</f>
        <v>6.799999999999997</v>
      </c>
      <c r="O47" s="160">
        <f>F47-серпень!F47</f>
        <v>6.800000000000011</v>
      </c>
      <c r="P47" s="161">
        <f t="shared" si="17"/>
        <v>1.4210854715202004E-14</v>
      </c>
      <c r="Q47" s="165">
        <f t="shared" si="22"/>
        <v>1.000000000000002</v>
      </c>
      <c r="R47" s="37">
        <v>0</v>
      </c>
      <c r="S47" s="37" t="e">
        <f>#N/A</f>
        <v>#N/A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640</v>
      </c>
      <c r="F48" s="156">
        <v>890.57</v>
      </c>
      <c r="G48" s="150">
        <f t="shared" si="16"/>
        <v>250.57000000000005</v>
      </c>
      <c r="H48" s="164">
        <f t="shared" si="18"/>
        <v>250.57000000000005</v>
      </c>
      <c r="I48" s="165">
        <f t="shared" si="19"/>
        <v>160.57000000000005</v>
      </c>
      <c r="J48" s="165">
        <f t="shared" si="23"/>
        <v>121.9958904109589</v>
      </c>
      <c r="K48" s="165">
        <v>428.63</v>
      </c>
      <c r="L48" s="165">
        <f t="shared" si="20"/>
        <v>461.94000000000005</v>
      </c>
      <c r="M48" s="218">
        <f t="shared" si="21"/>
        <v>2.0777127125959454</v>
      </c>
      <c r="N48" s="157">
        <f>E48-серпень!E48</f>
        <v>60</v>
      </c>
      <c r="O48" s="160">
        <f>F48-серпень!F48</f>
        <v>77.70000000000005</v>
      </c>
      <c r="P48" s="161">
        <f t="shared" si="17"/>
        <v>17.700000000000045</v>
      </c>
      <c r="Q48" s="165">
        <f t="shared" si="22"/>
        <v>1.2950000000000008</v>
      </c>
      <c r="R48" s="37">
        <v>100</v>
      </c>
      <c r="S48" s="37" t="e">
        <f>#N/A</f>
        <v>#N/A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>
        <f t="shared" si="18"/>
        <v>23.38</v>
      </c>
      <c r="I49" s="165">
        <f t="shared" si="19"/>
        <v>23.38</v>
      </c>
      <c r="J49" s="165"/>
      <c r="K49" s="165"/>
      <c r="L49" s="165">
        <f t="shared" si="20"/>
        <v>23.38</v>
      </c>
      <c r="M49" s="218"/>
      <c r="N49" s="157">
        <f>E49-серпень!E49</f>
        <v>0</v>
      </c>
      <c r="O49" s="160">
        <f>F49-серпень!F49</f>
        <v>0</v>
      </c>
      <c r="P49" s="161">
        <f t="shared" si="17"/>
        <v>0</v>
      </c>
      <c r="Q49" s="165"/>
      <c r="R49" s="37"/>
      <c r="S49" s="37" t="e">
        <f>#N/A</f>
        <v>#N/A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8940</v>
      </c>
      <c r="F50" s="156">
        <v>14370.71</v>
      </c>
      <c r="G50" s="150">
        <f t="shared" si="16"/>
        <v>5430.709999999999</v>
      </c>
      <c r="H50" s="164">
        <f t="shared" si="18"/>
        <v>5430.709999999999</v>
      </c>
      <c r="I50" s="165">
        <f t="shared" si="19"/>
        <v>3370.709999999999</v>
      </c>
      <c r="J50" s="165">
        <f t="shared" si="23"/>
        <v>130.64281818181817</v>
      </c>
      <c r="K50" s="165">
        <v>8067.74</v>
      </c>
      <c r="L50" s="165">
        <f t="shared" si="20"/>
        <v>6302.969999999999</v>
      </c>
      <c r="M50" s="218">
        <f t="shared" si="21"/>
        <v>1.7812559651153854</v>
      </c>
      <c r="N50" s="157">
        <f>E50-серпень!E50</f>
        <v>1000</v>
      </c>
      <c r="O50" s="160">
        <f>F50-серпень!F50</f>
        <v>1456.8899999999994</v>
      </c>
      <c r="P50" s="161">
        <f t="shared" si="17"/>
        <v>456.8899999999994</v>
      </c>
      <c r="Q50" s="165">
        <f t="shared" si="22"/>
        <v>1.4568899999999994</v>
      </c>
      <c r="R50" s="37">
        <v>1400</v>
      </c>
      <c r="S50" s="37" t="e">
        <f>#N/A</f>
        <v>#N/A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235</v>
      </c>
      <c r="F51" s="156">
        <v>425.92</v>
      </c>
      <c r="G51" s="150">
        <f t="shared" si="16"/>
        <v>190.92000000000002</v>
      </c>
      <c r="H51" s="164">
        <f t="shared" si="18"/>
        <v>190.92000000000002</v>
      </c>
      <c r="I51" s="165">
        <f t="shared" si="19"/>
        <v>115.92000000000002</v>
      </c>
      <c r="J51" s="165">
        <f t="shared" si="23"/>
        <v>137.39354838709679</v>
      </c>
      <c r="K51" s="165">
        <v>210.12</v>
      </c>
      <c r="L51" s="165">
        <f t="shared" si="20"/>
        <v>215.8</v>
      </c>
      <c r="M51" s="218">
        <f t="shared" si="21"/>
        <v>2.027032172092138</v>
      </c>
      <c r="N51" s="157">
        <f>E51-серпень!E51</f>
        <v>25</v>
      </c>
      <c r="O51" s="160">
        <f>F51-серпень!F51</f>
        <v>49.68000000000001</v>
      </c>
      <c r="P51" s="161">
        <f t="shared" si="17"/>
        <v>24.680000000000007</v>
      </c>
      <c r="Q51" s="165">
        <f t="shared" si="22"/>
        <v>1.9872000000000003</v>
      </c>
      <c r="R51" s="37">
        <v>40</v>
      </c>
      <c r="S51" s="37" t="e">
        <f>#N/A</f>
        <v>#N/A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17</v>
      </c>
      <c r="F52" s="156">
        <v>29.28</v>
      </c>
      <c r="G52" s="150">
        <f t="shared" si="16"/>
        <v>12.280000000000001</v>
      </c>
      <c r="H52" s="164">
        <f t="shared" si="18"/>
        <v>12.280000000000001</v>
      </c>
      <c r="I52" s="165">
        <f t="shared" si="19"/>
        <v>9.280000000000001</v>
      </c>
      <c r="J52" s="165">
        <f t="shared" si="23"/>
        <v>146.4</v>
      </c>
      <c r="K52" s="165">
        <v>16.68</v>
      </c>
      <c r="L52" s="165">
        <f t="shared" si="20"/>
        <v>12.600000000000001</v>
      </c>
      <c r="M52" s="218">
        <f t="shared" si="21"/>
        <v>1.7553956834532376</v>
      </c>
      <c r="N52" s="157">
        <f>E52-серпень!E52</f>
        <v>1</v>
      </c>
      <c r="O52" s="160">
        <f>F52-серпень!F52</f>
        <v>-2.3999999999999986</v>
      </c>
      <c r="P52" s="161">
        <f t="shared" si="17"/>
        <v>-3.3999999999999986</v>
      </c>
      <c r="Q52" s="165">
        <f t="shared" si="22"/>
        <v>-2.3999999999999986</v>
      </c>
      <c r="R52" s="37">
        <v>4</v>
      </c>
      <c r="S52" s="37" t="e">
        <f>#N/A</f>
        <v>#N/A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5460</v>
      </c>
      <c r="F53" s="156">
        <v>4873.33</v>
      </c>
      <c r="G53" s="150">
        <f t="shared" si="16"/>
        <v>-586.6700000000001</v>
      </c>
      <c r="H53" s="164">
        <f t="shared" si="18"/>
        <v>-586.6700000000001</v>
      </c>
      <c r="I53" s="165">
        <f t="shared" si="19"/>
        <v>-2401.67</v>
      </c>
      <c r="J53" s="165">
        <f t="shared" si="23"/>
        <v>66.98735395189004</v>
      </c>
      <c r="K53" s="165">
        <v>5625.22</v>
      </c>
      <c r="L53" s="165">
        <f t="shared" si="20"/>
        <v>-751.8900000000003</v>
      </c>
      <c r="M53" s="218">
        <f t="shared" si="21"/>
        <v>0.8663358944183516</v>
      </c>
      <c r="N53" s="157">
        <f>E53-серпень!E53</f>
        <v>605</v>
      </c>
      <c r="O53" s="160">
        <f>F53-серпень!F53</f>
        <v>539.9899999999998</v>
      </c>
      <c r="P53" s="161">
        <f t="shared" si="17"/>
        <v>-65.01000000000022</v>
      </c>
      <c r="Q53" s="165">
        <f t="shared" si="22"/>
        <v>0.8925454545454542</v>
      </c>
      <c r="R53" s="37">
        <v>550</v>
      </c>
      <c r="S53" s="37" t="e">
        <f>#N/A</f>
        <v>#N/A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890</v>
      </c>
      <c r="F54" s="156">
        <v>609.86</v>
      </c>
      <c r="G54" s="150">
        <f t="shared" si="16"/>
        <v>-280.14</v>
      </c>
      <c r="H54" s="164">
        <f t="shared" si="18"/>
        <v>-280.14</v>
      </c>
      <c r="I54" s="165">
        <f t="shared" si="19"/>
        <v>-590.14</v>
      </c>
      <c r="J54" s="165">
        <f t="shared" si="23"/>
        <v>50.821666666666665</v>
      </c>
      <c r="K54" s="165">
        <v>4925.62</v>
      </c>
      <c r="L54" s="165">
        <f t="shared" si="20"/>
        <v>-4315.76</v>
      </c>
      <c r="M54" s="218">
        <f t="shared" si="21"/>
        <v>0.12381385490557534</v>
      </c>
      <c r="N54" s="157">
        <f>E54-серпень!E54</f>
        <v>100</v>
      </c>
      <c r="O54" s="160">
        <f>F54-серпень!F54</f>
        <v>58.870000000000005</v>
      </c>
      <c r="P54" s="161">
        <f t="shared" si="17"/>
        <v>-41.129999999999995</v>
      </c>
      <c r="Q54" s="165">
        <f t="shared" si="22"/>
        <v>0.5887</v>
      </c>
      <c r="R54" s="37">
        <v>50</v>
      </c>
      <c r="S54" s="37" t="e">
        <f>#N/A</f>
        <v>#N/A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740</v>
      </c>
      <c r="F55" s="140">
        <v>513.57</v>
      </c>
      <c r="G55" s="103">
        <f t="shared" si="16"/>
        <v>-226.42999999999995</v>
      </c>
      <c r="H55" s="105">
        <f t="shared" si="18"/>
        <v>-226.42999999999995</v>
      </c>
      <c r="I55" s="104">
        <f t="shared" si="19"/>
        <v>-484.42999999999995</v>
      </c>
      <c r="J55" s="104">
        <f t="shared" si="23"/>
        <v>51.45991983967937</v>
      </c>
      <c r="K55" s="104">
        <v>643.11</v>
      </c>
      <c r="L55" s="165">
        <f t="shared" si="20"/>
        <v>-129.53999999999996</v>
      </c>
      <c r="M55" s="218">
        <f t="shared" si="21"/>
        <v>0.7985725614591594</v>
      </c>
      <c r="N55" s="105">
        <f>E55-серпень!E55</f>
        <v>80</v>
      </c>
      <c r="O55" s="144">
        <f>F55-серпень!F55</f>
        <v>46.59000000000003</v>
      </c>
      <c r="P55" s="106">
        <f t="shared" si="17"/>
        <v>-33.40999999999997</v>
      </c>
      <c r="Q55" s="104">
        <f t="shared" si="22"/>
        <v>0.5823750000000004</v>
      </c>
      <c r="R55" s="37"/>
      <c r="S55" s="37" t="e">
        <f>#N/A</f>
        <v>#N/A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16"/>
        <v>0.15</v>
      </c>
      <c r="H56" s="105">
        <f t="shared" si="18"/>
        <v>0.15</v>
      </c>
      <c r="I56" s="104">
        <f t="shared" si="19"/>
        <v>-0.85</v>
      </c>
      <c r="J56" s="104">
        <f t="shared" si="23"/>
        <v>15</v>
      </c>
      <c r="K56" s="104">
        <v>0.27</v>
      </c>
      <c r="L56" s="165">
        <f t="shared" si="20"/>
        <v>-0.12000000000000002</v>
      </c>
      <c r="M56" s="218">
        <f t="shared" si="21"/>
        <v>0.5555555555555555</v>
      </c>
      <c r="N56" s="105">
        <f>E56-серпень!E56</f>
        <v>0</v>
      </c>
      <c r="O56" s="144">
        <f>F56-серпень!F56</f>
        <v>0</v>
      </c>
      <c r="P56" s="106">
        <f t="shared" si="17"/>
        <v>0</v>
      </c>
      <c r="Q56" s="104"/>
      <c r="R56" s="37"/>
      <c r="S56" s="37" t="e">
        <f>#N/A</f>
        <v>#N/A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05">
        <f t="shared" si="18"/>
        <v>0</v>
      </c>
      <c r="I57" s="104">
        <f t="shared" si="19"/>
        <v>-1</v>
      </c>
      <c r="J57" s="104">
        <f t="shared" si="23"/>
        <v>0</v>
      </c>
      <c r="K57" s="104">
        <v>0.02</v>
      </c>
      <c r="L57" s="165">
        <f t="shared" si="20"/>
        <v>-0.02</v>
      </c>
      <c r="M57" s="218">
        <f t="shared" si="21"/>
        <v>0</v>
      </c>
      <c r="N57" s="105">
        <f>E57-серпень!E57</f>
        <v>0</v>
      </c>
      <c r="O57" s="144">
        <f>F57-серпень!F57</f>
        <v>0</v>
      </c>
      <c r="P57" s="106">
        <f t="shared" si="17"/>
        <v>0</v>
      </c>
      <c r="Q57" s="104"/>
      <c r="R57" s="37"/>
      <c r="S57" s="37" t="e">
        <f>#N/A</f>
        <v>#N/A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150</v>
      </c>
      <c r="F58" s="140">
        <v>96.14</v>
      </c>
      <c r="G58" s="103">
        <f t="shared" si="16"/>
        <v>-53.86</v>
      </c>
      <c r="H58" s="105">
        <f t="shared" si="18"/>
        <v>-53.86</v>
      </c>
      <c r="I58" s="104">
        <f t="shared" si="19"/>
        <v>-103.86</v>
      </c>
      <c r="J58" s="104">
        <f t="shared" si="23"/>
        <v>48.07</v>
      </c>
      <c r="K58" s="104">
        <v>4282.22</v>
      </c>
      <c r="L58" s="165">
        <f t="shared" si="20"/>
        <v>-4186.08</v>
      </c>
      <c r="M58" s="218">
        <f t="shared" si="21"/>
        <v>0.02245097169225308</v>
      </c>
      <c r="N58" s="105">
        <f>E58-серпень!E58</f>
        <v>20</v>
      </c>
      <c r="O58" s="144">
        <f>F58-серпень!F58</f>
        <v>12.280000000000001</v>
      </c>
      <c r="P58" s="106">
        <f t="shared" si="17"/>
        <v>-7.719999999999999</v>
      </c>
      <c r="Q58" s="104">
        <f t="shared" si="22"/>
        <v>0.6140000000000001</v>
      </c>
      <c r="R58" s="37"/>
      <c r="S58" s="37" t="e">
        <f>#N/A</f>
        <v>#N/A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 t="shared" si="18"/>
        <v>-0.45999999999999996</v>
      </c>
      <c r="I59" s="165">
        <f t="shared" si="19"/>
        <v>-0.45999999999999996</v>
      </c>
      <c r="J59" s="165">
        <f t="shared" si="23"/>
        <v>81.60000000000001</v>
      </c>
      <c r="K59" s="165">
        <v>2.46</v>
      </c>
      <c r="L59" s="165">
        <f t="shared" si="20"/>
        <v>-0.41999999999999993</v>
      </c>
      <c r="M59" s="218">
        <f t="shared" si="21"/>
        <v>0.8292682926829269</v>
      </c>
      <c r="N59" s="157">
        <f>E59-серпень!E59</f>
        <v>0</v>
      </c>
      <c r="O59" s="160">
        <f>F59-серпень!F59</f>
        <v>0</v>
      </c>
      <c r="P59" s="161">
        <f t="shared" si="17"/>
        <v>0</v>
      </c>
      <c r="Q59" s="165"/>
      <c r="R59" s="37">
        <v>0</v>
      </c>
      <c r="S59" s="37" t="e">
        <f>#N/A</f>
        <v>#N/A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6400</v>
      </c>
      <c r="F60" s="156">
        <v>6255.73</v>
      </c>
      <c r="G60" s="150">
        <f t="shared" si="16"/>
        <v>-144.27000000000044</v>
      </c>
      <c r="H60" s="164">
        <f t="shared" si="18"/>
        <v>-144.27000000000044</v>
      </c>
      <c r="I60" s="165">
        <f t="shared" si="19"/>
        <v>-1094.2700000000004</v>
      </c>
      <c r="J60" s="165">
        <f t="shared" si="23"/>
        <v>85.11197278911564</v>
      </c>
      <c r="K60" s="165">
        <v>5154.13</v>
      </c>
      <c r="L60" s="165">
        <f t="shared" si="20"/>
        <v>1101.5999999999995</v>
      </c>
      <c r="M60" s="218">
        <f t="shared" si="21"/>
        <v>1.2137315123987946</v>
      </c>
      <c r="N60" s="157">
        <f>E60-серпень!E60</f>
        <v>340</v>
      </c>
      <c r="O60" s="160">
        <f>F60-серпень!F60</f>
        <v>378.39999999999964</v>
      </c>
      <c r="P60" s="161">
        <f t="shared" si="17"/>
        <v>38.399999999999636</v>
      </c>
      <c r="Q60" s="165">
        <f t="shared" si="22"/>
        <v>1.1129411764705872</v>
      </c>
      <c r="R60" s="37">
        <v>500</v>
      </c>
      <c r="S60" s="37" t="e">
        <f>#N/A</f>
        <v>#N/A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>
        <f t="shared" si="18"/>
        <v>0</v>
      </c>
      <c r="I61" s="165">
        <f t="shared" si="19"/>
        <v>0</v>
      </c>
      <c r="J61" s="165" t="e">
        <f t="shared" si="23"/>
        <v>#DIV/0!</v>
      </c>
      <c r="K61" s="165">
        <v>0</v>
      </c>
      <c r="L61" s="165">
        <f t="shared" si="20"/>
        <v>0</v>
      </c>
      <c r="M61" s="218" t="e">
        <f t="shared" si="21"/>
        <v>#DIV/0!</v>
      </c>
      <c r="N61" s="157">
        <f>E61-серпень!E61</f>
        <v>0</v>
      </c>
      <c r="O61" s="160">
        <f>F61-серпень!F61</f>
        <v>0</v>
      </c>
      <c r="P61" s="161">
        <f t="shared" si="17"/>
        <v>0</v>
      </c>
      <c r="Q61" s="165" t="e">
        <f t="shared" si="22"/>
        <v>#DIV/0!</v>
      </c>
      <c r="R61" s="37"/>
      <c r="S61" s="37" t="e">
        <f>#N/A</f>
        <v>#N/A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1550.9</v>
      </c>
      <c r="G62" s="150">
        <f t="shared" si="16"/>
        <v>1550.9</v>
      </c>
      <c r="H62" s="164">
        <f t="shared" si="18"/>
        <v>1550.9</v>
      </c>
      <c r="I62" s="165">
        <f t="shared" si="19"/>
        <v>1550.9</v>
      </c>
      <c r="J62" s="165"/>
      <c r="K62" s="166">
        <v>1002.97</v>
      </c>
      <c r="L62" s="165">
        <f t="shared" si="20"/>
        <v>547.9300000000001</v>
      </c>
      <c r="M62" s="218">
        <f t="shared" si="21"/>
        <v>1.5463074668235341</v>
      </c>
      <c r="N62" s="157">
        <f>E62-серпень!E62</f>
        <v>0</v>
      </c>
      <c r="O62" s="160">
        <f>F62-серпень!F62</f>
        <v>144.55000000000018</v>
      </c>
      <c r="P62" s="161">
        <f t="shared" si="17"/>
        <v>144.55000000000018</v>
      </c>
      <c r="Q62" s="165"/>
      <c r="R62" s="37"/>
      <c r="S62" s="37" t="e">
        <f>#N/A</f>
        <v>#N/A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>
        <f t="shared" si="18"/>
        <v>0</v>
      </c>
      <c r="I63" s="165">
        <f t="shared" si="19"/>
        <v>0</v>
      </c>
      <c r="J63" s="165" t="e">
        <f t="shared" si="23"/>
        <v>#DIV/0!</v>
      </c>
      <c r="K63" s="166">
        <v>0</v>
      </c>
      <c r="L63" s="165">
        <f t="shared" si="20"/>
        <v>0</v>
      </c>
      <c r="M63" s="218" t="e">
        <f t="shared" si="21"/>
        <v>#DIV/0!</v>
      </c>
      <c r="N63" s="157">
        <f>E63-серпень!E63</f>
        <v>0</v>
      </c>
      <c r="O63" s="160">
        <f>F63-серпень!F63</f>
        <v>0</v>
      </c>
      <c r="P63" s="161">
        <f t="shared" si="17"/>
        <v>0</v>
      </c>
      <c r="Q63" s="165" t="e">
        <f t="shared" si="22"/>
        <v>#DIV/0!</v>
      </c>
      <c r="R63" s="37"/>
      <c r="S63" s="37" t="e">
        <f>#N/A</f>
        <v>#N/A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60.14</v>
      </c>
      <c r="G64" s="150">
        <f t="shared" si="16"/>
        <v>-29.86</v>
      </c>
      <c r="H64" s="164">
        <f t="shared" si="18"/>
        <v>-29.86</v>
      </c>
      <c r="I64" s="165">
        <f t="shared" si="19"/>
        <v>-99.86</v>
      </c>
      <c r="J64" s="165">
        <f t="shared" si="23"/>
        <v>37.5875</v>
      </c>
      <c r="K64" s="165">
        <v>158.93</v>
      </c>
      <c r="L64" s="165">
        <f t="shared" si="20"/>
        <v>-98.79</v>
      </c>
      <c r="M64" s="218">
        <f t="shared" si="21"/>
        <v>0.37840558736550683</v>
      </c>
      <c r="N64" s="157">
        <f>E64-серпень!E64</f>
        <v>10</v>
      </c>
      <c r="O64" s="160">
        <f>F64-серпень!F64</f>
        <v>0</v>
      </c>
      <c r="P64" s="161">
        <f t="shared" si="17"/>
        <v>-10</v>
      </c>
      <c r="Q64" s="165">
        <f t="shared" si="22"/>
        <v>0</v>
      </c>
      <c r="R64" s="37">
        <v>0</v>
      </c>
      <c r="S64" s="37" t="e">
        <f>#N/A</f>
        <v>#N/A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11.3</v>
      </c>
      <c r="F65" s="156">
        <v>34.22</v>
      </c>
      <c r="G65" s="150">
        <f t="shared" si="16"/>
        <v>22.919999999999998</v>
      </c>
      <c r="H65" s="164">
        <f t="shared" si="18"/>
        <v>22.919999999999998</v>
      </c>
      <c r="I65" s="165">
        <f t="shared" si="19"/>
        <v>19.22</v>
      </c>
      <c r="J65" s="165">
        <f t="shared" si="23"/>
        <v>228.13333333333335</v>
      </c>
      <c r="K65" s="165">
        <v>13.52</v>
      </c>
      <c r="L65" s="165">
        <f t="shared" si="20"/>
        <v>20.7</v>
      </c>
      <c r="M65" s="218">
        <f t="shared" si="21"/>
        <v>2.5310650887573964</v>
      </c>
      <c r="N65" s="157">
        <f>E65-серпень!E65</f>
        <v>1.1999999999999993</v>
      </c>
      <c r="O65" s="160">
        <f>F65-серпень!F65</f>
        <v>3.2699999999999996</v>
      </c>
      <c r="P65" s="161">
        <f t="shared" si="17"/>
        <v>2.0700000000000003</v>
      </c>
      <c r="Q65" s="165">
        <f t="shared" si="22"/>
        <v>2.7250000000000014</v>
      </c>
      <c r="R65" s="37">
        <v>3.2</v>
      </c>
      <c r="S65" s="37" t="e">
        <f>#N/A</f>
        <v>#N/A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6"/>
        <v>-5.17</v>
      </c>
      <c r="H66" s="164">
        <f t="shared" si="18"/>
        <v>-5.17</v>
      </c>
      <c r="I66" s="165">
        <f t="shared" si="19"/>
        <v>-5.17</v>
      </c>
      <c r="J66" s="165"/>
      <c r="K66" s="165">
        <v>1.02</v>
      </c>
      <c r="L66" s="165">
        <f t="shared" si="20"/>
        <v>-6.1899999999999995</v>
      </c>
      <c r="M66" s="218">
        <f t="shared" si="21"/>
        <v>-5.068627450980392</v>
      </c>
      <c r="N66" s="157">
        <f>E66-серпень!E66</f>
        <v>0</v>
      </c>
      <c r="O66" s="160">
        <f>F66-серпень!F66</f>
        <v>0</v>
      </c>
      <c r="P66" s="161">
        <f t="shared" si="17"/>
        <v>0</v>
      </c>
      <c r="Q66" s="165"/>
      <c r="R66" s="37">
        <v>0</v>
      </c>
      <c r="S66" s="37" t="e">
        <f>#N/A</f>
        <v>#N/A</v>
      </c>
    </row>
    <row r="67" spans="1:19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992191.2000000001</v>
      </c>
      <c r="F67" s="151">
        <f>F8+F41+F65+F66</f>
        <v>954770.4599999998</v>
      </c>
      <c r="G67" s="151">
        <f>F67-E67</f>
        <v>-37420.74000000022</v>
      </c>
      <c r="H67" s="152">
        <f>F67/E67*100</f>
        <v>96.22847491491558</v>
      </c>
      <c r="I67" s="153">
        <f>F67-D67</f>
        <v>-402720.64000000025</v>
      </c>
      <c r="J67" s="153">
        <f>F67/D67*100</f>
        <v>70.33346001310798</v>
      </c>
      <c r="K67" s="151">
        <v>757500.07</v>
      </c>
      <c r="L67" s="153">
        <f>F67-K67</f>
        <v>197270.3899999999</v>
      </c>
      <c r="M67" s="219">
        <f>F67/K67</f>
        <v>1.260422933030224</v>
      </c>
      <c r="N67" s="151">
        <f>N8+N41+N65+N66</f>
        <v>105792.39999999997</v>
      </c>
      <c r="O67" s="151">
        <f>O8+O41+O65+O66</f>
        <v>69256.29999999994</v>
      </c>
      <c r="P67" s="194">
        <f>O67-N67</f>
        <v>-36536.10000000002</v>
      </c>
      <c r="Q67" s="153">
        <f>O67/N67*100</f>
        <v>65.46434337438225</v>
      </c>
      <c r="R67" s="27">
        <f>R8+R41+R65+R66</f>
        <v>108115.7</v>
      </c>
      <c r="S67" s="280">
        <f>O67-R67</f>
        <v>-38859.40000000005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-3.83</v>
      </c>
      <c r="L73" s="167">
        <f>F73-K73</f>
        <v>1.19</v>
      </c>
      <c r="M73" s="209">
        <f>F73/K73</f>
        <v>0.6892950391644909</v>
      </c>
      <c r="N73" s="162">
        <f>E73-серпень!E73</f>
        <v>0</v>
      </c>
      <c r="O73" s="160">
        <f>F73-серпень!F73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-3.8200000000000003</v>
      </c>
      <c r="L74" s="187">
        <f aca="true" t="shared" si="24" ref="L74:L86">F74-K74</f>
        <v>1.19</v>
      </c>
      <c r="M74" s="214">
        <f aca="true" t="shared" si="25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26" ref="G75:G86">F75-E75</f>
        <v>35.57</v>
      </c>
      <c r="H75" s="186"/>
      <c r="I75" s="187">
        <f>F75-D75</f>
        <v>35.57</v>
      </c>
      <c r="J75" s="187"/>
      <c r="K75" s="187">
        <v>0</v>
      </c>
      <c r="L75" s="187">
        <f t="shared" si="24"/>
        <v>35.57</v>
      </c>
      <c r="M75" s="209"/>
      <c r="N75" s="186">
        <f>E75-серпень!E75</f>
        <v>0</v>
      </c>
      <c r="O75" s="289">
        <f>F75-червень!F75</f>
        <v>0</v>
      </c>
      <c r="P75" s="187">
        <f aca="true" t="shared" si="27" ref="P75:P86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39500</v>
      </c>
      <c r="F76" s="181">
        <v>3.81</v>
      </c>
      <c r="G76" s="162">
        <f t="shared" si="26"/>
        <v>-39496.19</v>
      </c>
      <c r="H76" s="164">
        <f>F76/E76*100</f>
        <v>0.009645569620253164</v>
      </c>
      <c r="I76" s="167">
        <f>F76-D76</f>
        <v>-104202.22</v>
      </c>
      <c r="J76" s="167">
        <f>F76/D76*100</f>
        <v>0.0036562183589567707</v>
      </c>
      <c r="K76" s="167">
        <v>1553.95</v>
      </c>
      <c r="L76" s="167">
        <f t="shared" si="24"/>
        <v>-1550.14</v>
      </c>
      <c r="M76" s="209">
        <f t="shared" si="25"/>
        <v>0.0024518163390070467</v>
      </c>
      <c r="N76" s="157">
        <f>E76-серпень!E76</f>
        <v>21500</v>
      </c>
      <c r="O76" s="160">
        <f>F76-серпень!F76</f>
        <v>0</v>
      </c>
      <c r="P76" s="167">
        <f t="shared" si="27"/>
        <v>-21500</v>
      </c>
      <c r="Q76" s="167">
        <f>O76/N76*100</f>
        <v>0</v>
      </c>
      <c r="R76" s="38">
        <v>0</v>
      </c>
      <c r="S76" s="38" t="e">
        <f>#N/A</f>
        <v>#N/A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26430</v>
      </c>
      <c r="F77" s="181">
        <v>6214.66</v>
      </c>
      <c r="G77" s="162">
        <f t="shared" si="26"/>
        <v>-20215.34</v>
      </c>
      <c r="H77" s="164">
        <f>F77/E77*100</f>
        <v>23.513658721150207</v>
      </c>
      <c r="I77" s="167">
        <f aca="true" t="shared" si="28" ref="I77:I86">F77-D77</f>
        <v>-47785.34</v>
      </c>
      <c r="J77" s="167">
        <f>F77/D77*100</f>
        <v>11.50862962962963</v>
      </c>
      <c r="K77" s="167">
        <v>6903.45</v>
      </c>
      <c r="L77" s="167">
        <f t="shared" si="24"/>
        <v>-688.79</v>
      </c>
      <c r="M77" s="209">
        <f t="shared" si="25"/>
        <v>0.9002252496939935</v>
      </c>
      <c r="N77" s="157">
        <f>E77-серпень!E77</f>
        <v>3600</v>
      </c>
      <c r="O77" s="160">
        <f>F77-серпень!F77</f>
        <v>244.51000000000022</v>
      </c>
      <c r="P77" s="167">
        <f t="shared" si="27"/>
        <v>-3355.49</v>
      </c>
      <c r="Q77" s="167">
        <f>O77/N77*100</f>
        <v>6.79194444444445</v>
      </c>
      <c r="R77" s="38">
        <v>200</v>
      </c>
      <c r="S77" s="38" t="e">
        <f>#N/A</f>
        <v>#N/A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27750</v>
      </c>
      <c r="F78" s="181">
        <v>10179.37</v>
      </c>
      <c r="G78" s="162">
        <f t="shared" si="26"/>
        <v>-17570.629999999997</v>
      </c>
      <c r="H78" s="164">
        <f>F78/E78*100</f>
        <v>36.68241441441442</v>
      </c>
      <c r="I78" s="167">
        <f t="shared" si="28"/>
        <v>-68820.63</v>
      </c>
      <c r="J78" s="167">
        <f>F78/D78*100</f>
        <v>12.88527848101266</v>
      </c>
      <c r="K78" s="167">
        <v>12116.42</v>
      </c>
      <c r="L78" s="167">
        <f t="shared" si="24"/>
        <v>-1937.0499999999993</v>
      </c>
      <c r="M78" s="209">
        <f t="shared" si="25"/>
        <v>0.8401301704628925</v>
      </c>
      <c r="N78" s="157">
        <f>E78-серпень!E78</f>
        <v>3850</v>
      </c>
      <c r="O78" s="160">
        <f>F78-серпень!F78</f>
        <v>2145.4500000000007</v>
      </c>
      <c r="P78" s="167">
        <f t="shared" si="27"/>
        <v>-1704.5499999999993</v>
      </c>
      <c r="Q78" s="167">
        <f>O78/N78*100</f>
        <v>55.72597402597405</v>
      </c>
      <c r="R78" s="38">
        <v>1500</v>
      </c>
      <c r="S78" s="38" t="e">
        <f>#N/A</f>
        <v>#N/A</v>
      </c>
    </row>
    <row r="79" spans="2:19" ht="18">
      <c r="B79" s="23" t="s">
        <v>101</v>
      </c>
      <c r="C79" s="73">
        <v>24110700</v>
      </c>
      <c r="D79" s="180">
        <v>12</v>
      </c>
      <c r="E79" s="180">
        <v>9</v>
      </c>
      <c r="F79" s="181">
        <v>10</v>
      </c>
      <c r="G79" s="162">
        <f t="shared" si="26"/>
        <v>1</v>
      </c>
      <c r="H79" s="164">
        <f>F79/E79*100</f>
        <v>111.11111111111111</v>
      </c>
      <c r="I79" s="167">
        <f t="shared" si="28"/>
        <v>-2</v>
      </c>
      <c r="J79" s="167">
        <f>F79/D79*100</f>
        <v>83.33333333333334</v>
      </c>
      <c r="K79" s="167">
        <v>10</v>
      </c>
      <c r="L79" s="167">
        <f t="shared" si="24"/>
        <v>0</v>
      </c>
      <c r="M79" s="209">
        <f t="shared" si="25"/>
        <v>1</v>
      </c>
      <c r="N79" s="157">
        <f>E79-серпень!E79</f>
        <v>1</v>
      </c>
      <c r="O79" s="160">
        <f>F79-серпень!F79</f>
        <v>1</v>
      </c>
      <c r="P79" s="167">
        <f t="shared" si="27"/>
        <v>0</v>
      </c>
      <c r="Q79" s="167">
        <f>O79/N79*100</f>
        <v>100</v>
      </c>
      <c r="R79" s="38">
        <v>1</v>
      </c>
      <c r="S79" s="38" t="e">
        <f>#N/A</f>
        <v>#N/A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93689</v>
      </c>
      <c r="F80" s="184">
        <f>F76+F77+F78+F79</f>
        <v>16407.84</v>
      </c>
      <c r="G80" s="185">
        <f t="shared" si="26"/>
        <v>-77281.16</v>
      </c>
      <c r="H80" s="186">
        <f>F80/E80*100</f>
        <v>17.513091184664155</v>
      </c>
      <c r="I80" s="187">
        <f t="shared" si="28"/>
        <v>-220810.19</v>
      </c>
      <c r="J80" s="187">
        <f>F80/D80*100</f>
        <v>6.916776098342946</v>
      </c>
      <c r="K80" s="187">
        <v>20583.82</v>
      </c>
      <c r="L80" s="167">
        <f t="shared" si="24"/>
        <v>-4175.98</v>
      </c>
      <c r="M80" s="209">
        <f t="shared" si="25"/>
        <v>0.797123177330544</v>
      </c>
      <c r="N80" s="185">
        <f>N76+N77+N78+N79</f>
        <v>28951</v>
      </c>
      <c r="O80" s="189">
        <f>O76+O77+O78+O79</f>
        <v>2390.960000000001</v>
      </c>
      <c r="P80" s="187">
        <f t="shared" si="27"/>
        <v>-26560.04</v>
      </c>
      <c r="Q80" s="187">
        <f>O80/N80*100</f>
        <v>8.258643915581503</v>
      </c>
      <c r="R80" s="39">
        <f>SUM(R76:R79)</f>
        <v>1701</v>
      </c>
      <c r="S80" s="39" t="e">
        <f>#N/A</f>
        <v>#N/A</v>
      </c>
    </row>
    <row r="81" spans="2:19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26"/>
        <v>19.14</v>
      </c>
      <c r="H81" s="164"/>
      <c r="I81" s="167">
        <f t="shared" si="28"/>
        <v>-1.8599999999999994</v>
      </c>
      <c r="J81" s="167"/>
      <c r="K81" s="167">
        <v>35.78</v>
      </c>
      <c r="L81" s="167">
        <f t="shared" si="24"/>
        <v>2.3599999999999994</v>
      </c>
      <c r="M81" s="209">
        <f t="shared" si="25"/>
        <v>1.0659586361095583</v>
      </c>
      <c r="N81" s="157">
        <f>E81-серпень!E81</f>
        <v>15</v>
      </c>
      <c r="O81" s="160">
        <f>F81-серпень!F81</f>
        <v>0</v>
      </c>
      <c r="P81" s="167">
        <f t="shared" si="27"/>
        <v>-15</v>
      </c>
      <c r="Q81" s="167"/>
      <c r="R81" s="38">
        <v>1</v>
      </c>
      <c r="S81" s="38" t="e">
        <f>#N/A</f>
        <v>#N/A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6"/>
        <v>0</v>
      </c>
      <c r="H82" s="164"/>
      <c r="I82" s="167">
        <f t="shared" si="28"/>
        <v>0</v>
      </c>
      <c r="J82" s="190"/>
      <c r="K82" s="167">
        <v>0</v>
      </c>
      <c r="L82" s="167">
        <f t="shared" si="24"/>
        <v>0</v>
      </c>
      <c r="M82" s="209" t="e">
        <f t="shared" si="25"/>
        <v>#DIV/0!</v>
      </c>
      <c r="N82" s="157">
        <f>E82-серпень!E82</f>
        <v>0</v>
      </c>
      <c r="O82" s="160">
        <f>F82-серпень!F82</f>
        <v>0</v>
      </c>
      <c r="P82" s="167">
        <f t="shared" si="27"/>
        <v>0</v>
      </c>
      <c r="Q82" s="190"/>
      <c r="R82" s="41"/>
      <c r="S82" s="38" t="e">
        <f>#N/A</f>
        <v>#N/A</v>
      </c>
    </row>
    <row r="83" spans="2:19" ht="18">
      <c r="B83" s="23" t="s">
        <v>46</v>
      </c>
      <c r="C83" s="73">
        <v>19010000</v>
      </c>
      <c r="D83" s="180">
        <v>8360</v>
      </c>
      <c r="E83" s="180">
        <v>6393.7</v>
      </c>
      <c r="F83" s="181">
        <v>6573.8</v>
      </c>
      <c r="G83" s="162">
        <f t="shared" si="26"/>
        <v>180.10000000000036</v>
      </c>
      <c r="H83" s="164">
        <f>F83/E83*100</f>
        <v>102.81683532227038</v>
      </c>
      <c r="I83" s="167">
        <f t="shared" si="28"/>
        <v>-1786.1999999999998</v>
      </c>
      <c r="J83" s="167">
        <f>F83/D83*100</f>
        <v>78.63397129186603</v>
      </c>
      <c r="K83" s="167">
        <v>6825.67</v>
      </c>
      <c r="L83" s="167">
        <f t="shared" si="24"/>
        <v>-251.8699999999999</v>
      </c>
      <c r="M83" s="209">
        <f t="shared" si="25"/>
        <v>0.9630995931534927</v>
      </c>
      <c r="N83" s="157">
        <f>E83-серпень!E83</f>
        <v>0.4999999999990905</v>
      </c>
      <c r="O83" s="160">
        <f>F83-серпень!F83</f>
        <v>0.03999999999996362</v>
      </c>
      <c r="P83" s="167">
        <f t="shared" si="27"/>
        <v>-0.4599999999991269</v>
      </c>
      <c r="Q83" s="167">
        <f>O83/N83*100</f>
        <v>8.000000000007276</v>
      </c>
      <c r="R83" s="41">
        <v>2850</v>
      </c>
      <c r="S83" s="288" t="e">
        <f>#N/A</f>
        <v>#N/A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6"/>
        <v>0.08</v>
      </c>
      <c r="H84" s="164"/>
      <c r="I84" s="167">
        <f t="shared" si="28"/>
        <v>0.08</v>
      </c>
      <c r="J84" s="167"/>
      <c r="K84" s="167">
        <v>1.22</v>
      </c>
      <c r="L84" s="167">
        <f t="shared" si="24"/>
        <v>-1.14</v>
      </c>
      <c r="M84" s="209">
        <f t="shared" si="25"/>
        <v>0.06557377049180328</v>
      </c>
      <c r="N84" s="157">
        <f>E84-серпень!E84</f>
        <v>0</v>
      </c>
      <c r="O84" s="160">
        <f>F84-серпень!F84</f>
        <v>0</v>
      </c>
      <c r="P84" s="167">
        <f t="shared" si="27"/>
        <v>0</v>
      </c>
      <c r="Q84" s="190"/>
      <c r="R84" s="38">
        <v>0</v>
      </c>
      <c r="S84" s="38" t="e">
        <f>#N/A</f>
        <v>#N/A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6412.7</v>
      </c>
      <c r="F85" s="184">
        <f>F81+F84+F82+F83</f>
        <v>6612.02</v>
      </c>
      <c r="G85" s="185">
        <f t="shared" si="26"/>
        <v>199.32000000000062</v>
      </c>
      <c r="H85" s="186">
        <f>F85/E85*100</f>
        <v>103.10820715143387</v>
      </c>
      <c r="I85" s="187">
        <f t="shared" si="28"/>
        <v>-1787.9799999999996</v>
      </c>
      <c r="J85" s="187">
        <f>F85/D85*100</f>
        <v>78.71452380952381</v>
      </c>
      <c r="K85" s="187">
        <v>6862.67</v>
      </c>
      <c r="L85" s="167">
        <f t="shared" si="24"/>
        <v>-250.64999999999964</v>
      </c>
      <c r="M85" s="209">
        <f t="shared" si="25"/>
        <v>0.9634763146122428</v>
      </c>
      <c r="N85" s="185">
        <f>N81+N84+N82+N83</f>
        <v>15.49999999999909</v>
      </c>
      <c r="O85" s="189">
        <f>O81+O84+O82+O83</f>
        <v>0.03999999999996362</v>
      </c>
      <c r="P85" s="187">
        <f t="shared" si="27"/>
        <v>-15.459999999999127</v>
      </c>
      <c r="Q85" s="187">
        <f>O85/N85*100</f>
        <v>0.2580645161288127</v>
      </c>
      <c r="R85" s="39">
        <f>SUM(R81:R84)</f>
        <v>2851</v>
      </c>
      <c r="S85" s="39" t="e">
        <f>#N/A</f>
        <v>#N/A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33.7</v>
      </c>
      <c r="F86" s="181">
        <v>20.745</v>
      </c>
      <c r="G86" s="162">
        <f t="shared" si="26"/>
        <v>-12.955000000000002</v>
      </c>
      <c r="H86" s="164">
        <f>F86/E86*100</f>
        <v>61.55786350148368</v>
      </c>
      <c r="I86" s="167">
        <f t="shared" si="28"/>
        <v>-17.255</v>
      </c>
      <c r="J86" s="167">
        <f>F86/D86*100</f>
        <v>54.5921052631579</v>
      </c>
      <c r="K86" s="187">
        <v>26.87</v>
      </c>
      <c r="L86" s="167">
        <f t="shared" si="24"/>
        <v>-6.125</v>
      </c>
      <c r="M86" s="209">
        <f t="shared" si="25"/>
        <v>0.7720506140677336</v>
      </c>
      <c r="N86" s="157">
        <f>E86-серпень!E86</f>
        <v>7.300000000000001</v>
      </c>
      <c r="O86" s="160">
        <f>F86-серпень!F86</f>
        <v>3.0950000000000024</v>
      </c>
      <c r="P86" s="167">
        <f t="shared" si="27"/>
        <v>-4.204999999999998</v>
      </c>
      <c r="Q86" s="167">
        <f>O86/N86*100</f>
        <v>42.397260273972634</v>
      </c>
      <c r="R86" s="38">
        <v>1.2</v>
      </c>
      <c r="S86" s="38" t="e">
        <f>#N/A</f>
        <v>#N/A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>
        <v>18.76</v>
      </c>
      <c r="L87" s="187" t="e">
        <f>#N/A</f>
        <v>#N/A</v>
      </c>
      <c r="M87" s="209">
        <f t="shared" si="25"/>
        <v>0</v>
      </c>
      <c r="N87" s="164">
        <f>E87-квітень!E87</f>
        <v>0</v>
      </c>
      <c r="O87" s="168">
        <f>F87-квітень!F87</f>
        <v>0</v>
      </c>
      <c r="P87" s="167" t="e">
        <f>#N/A</f>
        <v>#N/A</v>
      </c>
      <c r="Q87" s="167"/>
      <c r="R87" s="38">
        <v>0</v>
      </c>
      <c r="S87" s="38" t="e">
        <f>#N/A</f>
        <v>#N/A</v>
      </c>
    </row>
    <row r="88" spans="2:19" ht="23.25" customHeight="1">
      <c r="B88" s="306" t="s">
        <v>31</v>
      </c>
      <c r="C88" s="307"/>
      <c r="D88" s="308">
        <f>D74+D75+D80+D85+D86</f>
        <v>245656.03</v>
      </c>
      <c r="E88" s="308">
        <f>E74+E75+E80+E85+E86</f>
        <v>100135.4</v>
      </c>
      <c r="F88" s="308">
        <f>F74+F75+F80+F85+F86</f>
        <v>23073.545</v>
      </c>
      <c r="G88" s="309">
        <f>F88-E88</f>
        <v>-77061.855</v>
      </c>
      <c r="H88" s="310">
        <f>F88/E88*100</f>
        <v>23.042345663970984</v>
      </c>
      <c r="I88" s="301">
        <f>F88-D88</f>
        <v>-222582.485</v>
      </c>
      <c r="J88" s="301">
        <f>F88/D88*100</f>
        <v>9.392623091727078</v>
      </c>
      <c r="K88" s="308">
        <v>27469.53</v>
      </c>
      <c r="L88" s="301">
        <f>F88-K88</f>
        <v>-4395.985000000001</v>
      </c>
      <c r="M88" s="302">
        <f t="shared" si="25"/>
        <v>0.839968685303316</v>
      </c>
      <c r="N88" s="308">
        <f>N74+N75+N80+N85+N86</f>
        <v>28973.8</v>
      </c>
      <c r="O88" s="308">
        <f>O74+O75+O80+O85+O86</f>
        <v>2394.0950000000007</v>
      </c>
      <c r="P88" s="301">
        <f>O88-N88</f>
        <v>-26579.704999999998</v>
      </c>
      <c r="Q88" s="301">
        <f>O88/N88*100</f>
        <v>8.262965161628784</v>
      </c>
      <c r="R88" s="27">
        <f>R80+R85+R86+R87</f>
        <v>4553.2</v>
      </c>
      <c r="S88" s="27" t="e">
        <f>S80+S85+S86+S87</f>
        <v>#N/A</v>
      </c>
    </row>
    <row r="89" spans="2:19" ht="17.25">
      <c r="B89" s="311" t="s">
        <v>182</v>
      </c>
      <c r="C89" s="307"/>
      <c r="D89" s="308">
        <f>D67+D88</f>
        <v>1603147.1300000001</v>
      </c>
      <c r="E89" s="308">
        <f>E67+E88</f>
        <v>1092326.6</v>
      </c>
      <c r="F89" s="308">
        <f>F67+F88</f>
        <v>977844.0049999999</v>
      </c>
      <c r="G89" s="309">
        <f>F89-E89</f>
        <v>-114482.5950000002</v>
      </c>
      <c r="H89" s="310">
        <f>F89/E89*100</f>
        <v>89.51938046734372</v>
      </c>
      <c r="I89" s="301">
        <f>F89-D89</f>
        <v>-625303.1250000002</v>
      </c>
      <c r="J89" s="301">
        <f>F89/D89*100</f>
        <v>60.995275274578184</v>
      </c>
      <c r="K89" s="301">
        <f>K67+K88</f>
        <v>784969.6</v>
      </c>
      <c r="L89" s="301">
        <f>L67+L88</f>
        <v>192874.4049999999</v>
      </c>
      <c r="M89" s="302">
        <f t="shared" si="25"/>
        <v>1.2457093943510678</v>
      </c>
      <c r="N89" s="309">
        <f>N67+N88</f>
        <v>134766.19999999995</v>
      </c>
      <c r="O89" s="309">
        <f>O67+O88</f>
        <v>71650.39499999995</v>
      </c>
      <c r="P89" s="301">
        <f>O89-N89</f>
        <v>-63115.80500000001</v>
      </c>
      <c r="Q89" s="301">
        <f>O89/N89*100</f>
        <v>53.166443069553026</v>
      </c>
      <c r="R89" s="27">
        <f>R67+R88</f>
        <v>112668.9</v>
      </c>
      <c r="S89" s="27" t="e">
        <f>S67+S88</f>
        <v>#N/A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5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7307.220000000004</v>
      </c>
      <c r="D92" s="4" t="s">
        <v>24</v>
      </c>
      <c r="G92" s="341"/>
      <c r="H92" s="341"/>
      <c r="I92" s="341"/>
      <c r="J92" s="341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43000</v>
      </c>
      <c r="D93" s="29">
        <v>5068.9</v>
      </c>
      <c r="G93" s="4" t="s">
        <v>58</v>
      </c>
      <c r="O93" s="342"/>
      <c r="P93" s="342"/>
    </row>
    <row r="94" spans="3:16" ht="15">
      <c r="C94" s="81">
        <v>42999</v>
      </c>
      <c r="D94" s="29">
        <v>3800.8</v>
      </c>
      <c r="G94" s="334"/>
      <c r="H94" s="334"/>
      <c r="I94" s="118"/>
      <c r="J94" s="295"/>
      <c r="K94" s="295"/>
      <c r="L94" s="295"/>
      <c r="M94" s="295"/>
      <c r="N94" s="295"/>
      <c r="O94" s="342"/>
      <c r="P94" s="342"/>
    </row>
    <row r="95" spans="3:16" ht="15.75" customHeight="1">
      <c r="C95" s="81">
        <v>42998</v>
      </c>
      <c r="D95" s="29">
        <v>4564.7</v>
      </c>
      <c r="F95" s="68"/>
      <c r="G95" s="334"/>
      <c r="H95" s="334"/>
      <c r="I95" s="118"/>
      <c r="J95" s="296"/>
      <c r="K95" s="296"/>
      <c r="L95" s="296"/>
      <c r="M95" s="296"/>
      <c r="N95" s="296"/>
      <c r="O95" s="342"/>
      <c r="P95" s="342"/>
    </row>
    <row r="96" spans="3:14" ht="15.75" customHeight="1">
      <c r="C96" s="81"/>
      <c r="F96" s="68"/>
      <c r="G96" s="346"/>
      <c r="H96" s="346"/>
      <c r="I96" s="124"/>
      <c r="J96" s="295"/>
      <c r="K96" s="295"/>
      <c r="L96" s="295"/>
      <c r="M96" s="295"/>
      <c r="N96" s="295"/>
    </row>
    <row r="97" spans="2:14" ht="18" customHeight="1">
      <c r="B97" s="347" t="s">
        <v>56</v>
      </c>
      <c r="C97" s="348"/>
      <c r="D97" s="133">
        <v>949.8231999999999</v>
      </c>
      <c r="E97" s="69"/>
      <c r="F97" s="125" t="s">
        <v>107</v>
      </c>
      <c r="G97" s="334"/>
      <c r="H97" s="334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334"/>
      <c r="H98" s="334"/>
      <c r="I98" s="68"/>
      <c r="J98" s="69"/>
      <c r="K98" s="69"/>
      <c r="L98" s="69"/>
      <c r="M98" s="69"/>
    </row>
    <row r="99" spans="2:13" ht="22.5" customHeight="1" hidden="1">
      <c r="B99" s="343" t="s">
        <v>59</v>
      </c>
      <c r="C99" s="344"/>
      <c r="D99" s="80">
        <v>0</v>
      </c>
      <c r="E99" s="51" t="s">
        <v>24</v>
      </c>
      <c r="F99" s="68"/>
      <c r="G99" s="334"/>
      <c r="H99" s="334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892</v>
      </c>
      <c r="F100" s="203">
        <f>F48+F51+F52</f>
        <v>1345.77</v>
      </c>
      <c r="G100" s="68">
        <f>G48+G51+G52</f>
        <v>453.7700000000001</v>
      </c>
      <c r="H100" s="69"/>
      <c r="I100" s="69"/>
      <c r="N100" s="29">
        <f>N48+N51+N52</f>
        <v>86</v>
      </c>
      <c r="O100" s="202">
        <f>O48+O51+O52</f>
        <v>124.98000000000005</v>
      </c>
      <c r="P100" s="29">
        <f>P48+P51+P52</f>
        <v>38.980000000000054</v>
      </c>
    </row>
    <row r="101" spans="4:16" ht="15" hidden="1">
      <c r="D101" s="78"/>
      <c r="I101" s="29"/>
      <c r="O101" s="345"/>
      <c r="P101" s="34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947125.4</v>
      </c>
      <c r="F102" s="229">
        <f>F9+F15+F18+F19+F23+F42+F45+F65+F59</f>
        <v>905922.7899999999</v>
      </c>
      <c r="G102" s="29">
        <f>F102-E102</f>
        <v>-41202.6100000001</v>
      </c>
      <c r="H102" s="230">
        <f>F102/E102</f>
        <v>0.9564971966753293</v>
      </c>
      <c r="I102" s="29">
        <f>F102-D102</f>
        <v>-393125.8100000002</v>
      </c>
      <c r="J102" s="230">
        <f>F102/D102</f>
        <v>0.6973740551354275</v>
      </c>
      <c r="N102" s="29">
        <f>N9+N15+N17+N18+N19+N23+N42+N45+N65+N59</f>
        <v>100821.59999999996</v>
      </c>
      <c r="O102" s="229">
        <f>O9+O15+O17+O18+O19+O23+O42+O45+O65+O59</f>
        <v>64245.95999999994</v>
      </c>
      <c r="P102" s="29">
        <f>O102-N102</f>
        <v>-36575.64000000002</v>
      </c>
      <c r="Q102" s="230">
        <f>O102/N102</f>
        <v>0.6372241662500889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45065.8</v>
      </c>
      <c r="F103" s="229">
        <f>F43+F44+F46+F48+F50+F51+F52+F53+F54+F60+F64+F47+F66</f>
        <v>48823.799999999996</v>
      </c>
      <c r="G103" s="29">
        <f>G43+G44+G46+G48+G50+G51+G52+G53+G54+G60+G64+G47</f>
        <v>3763.1699999999973</v>
      </c>
      <c r="H103" s="230">
        <f>F103/E103</f>
        <v>1.0833891776025277</v>
      </c>
      <c r="I103" s="29">
        <f>I43+I44+I46+I48+I50+I51+I52+I53+I54+I60+I64+I47</f>
        <v>-9613.530000000004</v>
      </c>
      <c r="J103" s="230">
        <f>F103/D103</f>
        <v>0.8354160071865508</v>
      </c>
      <c r="K103" s="29">
        <f>K43+K44+K46+K48+K50+K51+K52+K53+K54+K60+K64+K47</f>
        <v>49023.450000000004</v>
      </c>
      <c r="L103" s="29">
        <f>L43+L44+L46+L48+L50+L51+L52+L53+L54+L60+L64+L47</f>
        <v>-194.4800000000039</v>
      </c>
      <c r="M103" s="29">
        <f>M43+M44+M46+M48+M50+M51+M52+M53+M54+M60+M64+M47</f>
        <v>19.961760537560394</v>
      </c>
      <c r="N103" s="29">
        <f>N43+N44+N46+N48+N50+N51+N52+N53+N54+N60+N64+N47+N66</f>
        <v>4970.8</v>
      </c>
      <c r="O103" s="229">
        <f>O43+O44+O46+O48+O50+O51+O52+O53+O54+O60+O64+O47+O66</f>
        <v>5010.339999999997</v>
      </c>
      <c r="P103" s="29">
        <f>P43+P44+P46+P48+P50+P51+P52+P53+P54+P60+P64+P47</f>
        <v>39.53999999999796</v>
      </c>
      <c r="Q103" s="230">
        <f>O103/N103</f>
        <v>1.0079544540114262</v>
      </c>
    </row>
    <row r="104" spans="2:17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9" t="e">
        <f>#N/A</f>
        <v>#N/A</v>
      </c>
      <c r="L104" s="29" t="e">
        <f>#N/A</f>
        <v>#N/A</v>
      </c>
      <c r="M104" s="29" t="e">
        <f>#N/A</f>
        <v>#N/A</v>
      </c>
      <c r="N104" s="29" t="e">
        <f>#N/A</f>
        <v>#N/A</v>
      </c>
      <c r="O104" s="229" t="e">
        <f>#N/A</f>
        <v>#N/A</v>
      </c>
      <c r="P104" s="29" t="e">
        <f>#N/A</f>
        <v>#N/A</v>
      </c>
      <c r="Q104" s="230" t="e">
        <f>O104/N104</f>
        <v>#N/A</v>
      </c>
    </row>
    <row r="105" spans="4:19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9" t="e">
        <f>K67-K104</f>
        <v>#N/A</v>
      </c>
      <c r="L105" s="29" t="e">
        <f>#N/A</f>
        <v>#N/A</v>
      </c>
      <c r="M105" s="29" t="e">
        <f>#N/A</f>
        <v>#N/A</v>
      </c>
      <c r="N105" s="29" t="e">
        <f>#N/A</f>
        <v>#N/A</v>
      </c>
      <c r="O105" s="29" t="e">
        <f>#N/A</f>
        <v>#N/A</v>
      </c>
      <c r="P105" s="29" t="e">
        <f>#N/A</f>
        <v>#N/A</v>
      </c>
      <c r="Q105" s="29"/>
      <c r="R105" s="29" t="e">
        <f>#N/A</f>
        <v>#N/A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102455.50000000006</v>
      </c>
    </row>
    <row r="108" spans="2:5" ht="15" hidden="1">
      <c r="B108" s="245" t="s">
        <v>166</v>
      </c>
      <c r="E108" s="29">
        <f>E88-E83-E76-E77</f>
        <v>27811.699999999997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118237.45999999999</v>
      </c>
      <c r="F111" s="191">
        <f>F88+F110</f>
        <v>43327.865</v>
      </c>
      <c r="G111" s="192">
        <f>F111-E111</f>
        <v>-74909.595</v>
      </c>
      <c r="H111" s="193">
        <f>F111/E111*100</f>
        <v>36.64478668604688</v>
      </c>
      <c r="I111" s="194">
        <f>F111-D111</f>
        <v>-274736.385</v>
      </c>
      <c r="J111" s="194">
        <f>F111/D111*100</f>
        <v>13.622362462930052</v>
      </c>
      <c r="K111" s="194">
        <v>3039.87</v>
      </c>
      <c r="L111" s="194">
        <f>F111-K111</f>
        <v>40287.994999999995</v>
      </c>
      <c r="M111" s="269">
        <f>F111/K111</f>
        <v>14.25319668275288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1110428.6600000001</v>
      </c>
      <c r="F112" s="191">
        <f>F111+F67</f>
        <v>998098.3249999998</v>
      </c>
      <c r="G112" s="192">
        <f>F112-E112</f>
        <v>-112330.33500000031</v>
      </c>
      <c r="H112" s="193">
        <f>F112/E112*100</f>
        <v>89.88405657685382</v>
      </c>
      <c r="I112" s="194">
        <f>F112-D112</f>
        <v>-677457.0250000003</v>
      </c>
      <c r="J112" s="194">
        <f>F112/D112*100</f>
        <v>59.56820972819548</v>
      </c>
      <c r="K112" s="194">
        <f>K89+K111</f>
        <v>788009.47</v>
      </c>
      <c r="L112" s="194">
        <f>F112-K112</f>
        <v>210088.85499999986</v>
      </c>
      <c r="M112" s="269">
        <f>F112/K112</f>
        <v>1.2666070180603284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Q113" s="89"/>
    </row>
    <row r="114" spans="2:17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Q123" s="89"/>
    </row>
    <row r="124" spans="2:17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Q124" s="243"/>
    </row>
    <row r="125" ht="15" hidden="1"/>
    <row r="126" ht="15" hidden="1"/>
  </sheetData>
  <sheetProtection/>
  <mergeCells count="33">
    <mergeCell ref="G98:H98"/>
    <mergeCell ref="B99:C99"/>
    <mergeCell ref="G99:H99"/>
    <mergeCell ref="O101:P101"/>
    <mergeCell ref="G94:H94"/>
    <mergeCell ref="O94:P94"/>
    <mergeCell ref="G95:H95"/>
    <mergeCell ref="O95:P95"/>
    <mergeCell ref="G96:H96"/>
    <mergeCell ref="B97:C97"/>
    <mergeCell ref="G97:H97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31496062992125984" right="0.11811023622047245" top="0.15748031496062992" bottom="0.15748031496062992" header="0" footer="0"/>
  <pageSetup fitToHeight="1" fitToWidth="1" orientation="portrait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Z5" sqref="Z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hidden="1" customWidth="1"/>
    <col min="6" max="6" width="13.875" style="113" customWidth="1"/>
    <col min="7" max="7" width="13.25390625" style="4" hidden="1" customWidth="1"/>
    <col min="8" max="8" width="11.50390625" style="4" hidden="1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312" t="s">
        <v>132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6"/>
      <c r="S1" s="87"/>
    </row>
    <row r="2" spans="2:19" s="1" customFormat="1" ht="15.75" customHeight="1">
      <c r="B2" s="313"/>
      <c r="C2" s="313"/>
      <c r="D2" s="313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14"/>
      <c r="B3" s="316"/>
      <c r="C3" s="317" t="s">
        <v>0</v>
      </c>
      <c r="D3" s="318" t="s">
        <v>126</v>
      </c>
      <c r="E3" s="32"/>
      <c r="F3" s="319" t="s">
        <v>26</v>
      </c>
      <c r="G3" s="320"/>
      <c r="H3" s="320"/>
      <c r="I3" s="320"/>
      <c r="J3" s="321"/>
      <c r="K3" s="83"/>
      <c r="L3" s="83"/>
      <c r="M3" s="83"/>
      <c r="N3" s="322" t="s">
        <v>129</v>
      </c>
      <c r="O3" s="325" t="s">
        <v>125</v>
      </c>
      <c r="P3" s="325"/>
      <c r="Q3" s="325"/>
      <c r="R3" s="325"/>
      <c r="S3" s="325"/>
    </row>
    <row r="4" spans="1:19" ht="22.5" customHeight="1">
      <c r="A4" s="314"/>
      <c r="B4" s="316"/>
      <c r="C4" s="317"/>
      <c r="D4" s="318"/>
      <c r="E4" s="326" t="s">
        <v>127</v>
      </c>
      <c r="F4" s="328" t="s">
        <v>33</v>
      </c>
      <c r="G4" s="330" t="s">
        <v>128</v>
      </c>
      <c r="H4" s="323" t="s">
        <v>122</v>
      </c>
      <c r="I4" s="330" t="s">
        <v>103</v>
      </c>
      <c r="J4" s="323" t="s">
        <v>104</v>
      </c>
      <c r="K4" s="85" t="s">
        <v>114</v>
      </c>
      <c r="L4" s="204" t="s">
        <v>113</v>
      </c>
      <c r="M4" s="90" t="s">
        <v>63</v>
      </c>
      <c r="N4" s="323"/>
      <c r="O4" s="332" t="s">
        <v>133</v>
      </c>
      <c r="P4" s="330" t="s">
        <v>49</v>
      </c>
      <c r="Q4" s="335" t="s">
        <v>48</v>
      </c>
      <c r="R4" s="91" t="s">
        <v>64</v>
      </c>
      <c r="S4" s="92" t="s">
        <v>63</v>
      </c>
    </row>
    <row r="5" spans="1:19" ht="67.5" customHeight="1">
      <c r="A5" s="315"/>
      <c r="B5" s="316"/>
      <c r="C5" s="317"/>
      <c r="D5" s="318"/>
      <c r="E5" s="327"/>
      <c r="F5" s="329"/>
      <c r="G5" s="331"/>
      <c r="H5" s="324"/>
      <c r="I5" s="331"/>
      <c r="J5" s="324"/>
      <c r="K5" s="336" t="s">
        <v>130</v>
      </c>
      <c r="L5" s="337"/>
      <c r="M5" s="338"/>
      <c r="N5" s="324"/>
      <c r="O5" s="333"/>
      <c r="P5" s="331"/>
      <c r="Q5" s="335"/>
      <c r="R5" s="336" t="s">
        <v>102</v>
      </c>
      <c r="S5" s="338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151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156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140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140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140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140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140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156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140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163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156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156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223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170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172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 hidden="1">
      <c r="A23" s="8"/>
      <c r="B23" s="196" t="s">
        <v>109</v>
      </c>
      <c r="C23" s="197"/>
      <c r="D23" s="198">
        <v>2000</v>
      </c>
      <c r="E23" s="198">
        <f>#N/A</f>
        <v>2000</v>
      </c>
      <c r="F23" s="163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 hidden="1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163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172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172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 hidden="1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163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 hidden="1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163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199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156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156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163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140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140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140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140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 hidden="1">
      <c r="A37" s="8"/>
      <c r="B37" s="44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151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156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156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156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156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156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156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156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156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156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156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156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156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140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140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140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140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156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156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156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156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156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151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18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181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181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181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181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184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181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181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181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184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181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18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19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341"/>
      <c r="H89" s="341"/>
      <c r="I89" s="341"/>
      <c r="J89" s="341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342"/>
      <c r="P90" s="342"/>
      <c r="T90" s="147">
        <f>#N/A</f>
        <v>1029.4</v>
      </c>
    </row>
    <row r="91" spans="3:16" ht="15">
      <c r="C91" s="81">
        <v>42733</v>
      </c>
      <c r="D91" s="29">
        <v>10489.6</v>
      </c>
      <c r="F91" s="113" t="s">
        <v>58</v>
      </c>
      <c r="G91" s="334"/>
      <c r="H91" s="334"/>
      <c r="I91" s="118"/>
      <c r="J91" s="349"/>
      <c r="K91" s="349"/>
      <c r="L91" s="349"/>
      <c r="M91" s="349"/>
      <c r="N91" s="349"/>
      <c r="O91" s="342"/>
      <c r="P91" s="342"/>
    </row>
    <row r="92" spans="3:16" ht="15.75" customHeight="1">
      <c r="C92" s="81">
        <v>42732</v>
      </c>
      <c r="D92" s="29">
        <v>19085.6</v>
      </c>
      <c r="F92" s="68"/>
      <c r="G92" s="334"/>
      <c r="H92" s="334"/>
      <c r="I92" s="118"/>
      <c r="J92" s="350"/>
      <c r="K92" s="350"/>
      <c r="L92" s="350"/>
      <c r="M92" s="350"/>
      <c r="N92" s="350"/>
      <c r="O92" s="342"/>
      <c r="P92" s="342"/>
    </row>
    <row r="93" spans="3:14" ht="15.75" customHeight="1">
      <c r="C93" s="81"/>
      <c r="F93" s="68"/>
      <c r="G93" s="346"/>
      <c r="H93" s="346"/>
      <c r="I93" s="124"/>
      <c r="J93" s="349"/>
      <c r="K93" s="349"/>
      <c r="L93" s="349"/>
      <c r="M93" s="349"/>
      <c r="N93" s="349"/>
    </row>
    <row r="94" spans="2:14" ht="18.75" customHeight="1">
      <c r="B94" s="347" t="s">
        <v>56</v>
      </c>
      <c r="C94" s="348"/>
      <c r="D94" s="133" t="e">
        <f>'[1]ЧТКЕ'!$G$6/1000</f>
        <v>#VALUE!</v>
      </c>
      <c r="E94" s="69"/>
      <c r="F94" s="125" t="s">
        <v>107</v>
      </c>
      <c r="G94" s="334"/>
      <c r="H94" s="334"/>
      <c r="I94" s="126"/>
      <c r="J94" s="349"/>
      <c r="K94" s="349"/>
      <c r="L94" s="349"/>
      <c r="M94" s="349"/>
      <c r="N94" s="349"/>
    </row>
    <row r="95" spans="6:13" ht="9" customHeight="1">
      <c r="F95" s="68"/>
      <c r="G95" s="334"/>
      <c r="H95" s="334"/>
      <c r="I95" s="68"/>
      <c r="J95" s="69"/>
      <c r="K95" s="69"/>
      <c r="L95" s="69"/>
      <c r="M95" s="69"/>
    </row>
    <row r="96" spans="2:13" ht="22.5" customHeight="1" hidden="1">
      <c r="B96" s="343" t="s">
        <v>59</v>
      </c>
      <c r="C96" s="344"/>
      <c r="D96" s="80">
        <v>0</v>
      </c>
      <c r="E96" s="51" t="s">
        <v>24</v>
      </c>
      <c r="F96" s="68"/>
      <c r="G96" s="334"/>
      <c r="H96" s="334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203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45"/>
      <c r="P98" s="345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229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229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229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" top="0.1968503937007874" bottom="0.15748031496062992" header="0" footer="0"/>
  <pageSetup fitToHeight="1" fitToWidth="1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68" zoomScaleNormal="68" zoomScalePageLayoutView="0" workbookViewId="0" topLeftCell="B1">
      <pane xSplit="2" ySplit="8" topLeftCell="D6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4" sqref="G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12" t="s">
        <v>233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6"/>
      <c r="S1" s="86"/>
    </row>
    <row r="2" spans="2:19" s="1" customFormat="1" ht="15.75" customHeight="1">
      <c r="B2" s="313"/>
      <c r="C2" s="313"/>
      <c r="D2" s="31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14"/>
      <c r="B3" s="316"/>
      <c r="C3" s="317" t="s">
        <v>0</v>
      </c>
      <c r="D3" s="318" t="s">
        <v>150</v>
      </c>
      <c r="E3" s="32"/>
      <c r="F3" s="319" t="s">
        <v>26</v>
      </c>
      <c r="G3" s="320"/>
      <c r="H3" s="320"/>
      <c r="I3" s="320"/>
      <c r="J3" s="321"/>
      <c r="K3" s="83"/>
      <c r="L3" s="83"/>
      <c r="M3" s="83"/>
      <c r="N3" s="322" t="s">
        <v>230</v>
      </c>
      <c r="O3" s="325" t="s">
        <v>235</v>
      </c>
      <c r="P3" s="325"/>
      <c r="Q3" s="325"/>
      <c r="R3" s="325"/>
      <c r="S3" s="325"/>
    </row>
    <row r="4" spans="1:19" ht="22.5" customHeight="1">
      <c r="A4" s="314"/>
      <c r="B4" s="316"/>
      <c r="C4" s="317"/>
      <c r="D4" s="318"/>
      <c r="E4" s="326" t="s">
        <v>227</v>
      </c>
      <c r="F4" s="328" t="s">
        <v>33</v>
      </c>
      <c r="G4" s="330" t="s">
        <v>228</v>
      </c>
      <c r="H4" s="323" t="s">
        <v>229</v>
      </c>
      <c r="I4" s="330" t="s">
        <v>138</v>
      </c>
      <c r="J4" s="323" t="s">
        <v>139</v>
      </c>
      <c r="K4" s="85" t="s">
        <v>141</v>
      </c>
      <c r="L4" s="204" t="s">
        <v>113</v>
      </c>
      <c r="M4" s="90" t="s">
        <v>63</v>
      </c>
      <c r="N4" s="323"/>
      <c r="O4" s="332" t="s">
        <v>234</v>
      </c>
      <c r="P4" s="330" t="s">
        <v>49</v>
      </c>
      <c r="Q4" s="335" t="s">
        <v>48</v>
      </c>
      <c r="R4" s="91" t="s">
        <v>64</v>
      </c>
      <c r="S4" s="91"/>
    </row>
    <row r="5" spans="1:19" ht="67.5" customHeight="1">
      <c r="A5" s="315"/>
      <c r="B5" s="316"/>
      <c r="C5" s="317"/>
      <c r="D5" s="318"/>
      <c r="E5" s="327"/>
      <c r="F5" s="329"/>
      <c r="G5" s="331"/>
      <c r="H5" s="324"/>
      <c r="I5" s="331"/>
      <c r="J5" s="324"/>
      <c r="K5" s="336" t="s">
        <v>231</v>
      </c>
      <c r="L5" s="337"/>
      <c r="M5" s="338"/>
      <c r="N5" s="324"/>
      <c r="O5" s="333"/>
      <c r="P5" s="331"/>
      <c r="Q5" s="335"/>
      <c r="R5" s="339" t="s">
        <v>215</v>
      </c>
      <c r="S5" s="34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838073.4800000001</v>
      </c>
      <c r="G8" s="151">
        <f>F8-E8</f>
        <v>-7737.719999999856</v>
      </c>
      <c r="H8" s="152">
        <f>F8/E8*100</f>
        <v>99.08517172626706</v>
      </c>
      <c r="I8" s="153">
        <f aca="true" t="shared" si="0" ref="I8:I15">F8-D8</f>
        <v>-460377.62</v>
      </c>
      <c r="J8" s="153">
        <f aca="true" t="shared" si="1" ref="J8:J15">F8/D8*100</f>
        <v>64.54409257306648</v>
      </c>
      <c r="K8" s="151">
        <v>633520.83</v>
      </c>
      <c r="L8" s="151">
        <f aca="true" t="shared" si="2" ref="L8:L25">F8-K8</f>
        <v>204552.65000000014</v>
      </c>
      <c r="M8" s="205">
        <f aca="true" t="shared" si="3" ref="M8:M20">F8/K8</f>
        <v>1.3228822799717574</v>
      </c>
      <c r="N8" s="151">
        <f>N9+N15+N18+N19+N23+N17</f>
        <v>118471</v>
      </c>
      <c r="O8" s="151">
        <f>O9+O15+O18+O19+O23+O17</f>
        <v>112500.43000000008</v>
      </c>
      <c r="P8" s="151">
        <f>O8-N8</f>
        <v>-5970.56999999992</v>
      </c>
      <c r="Q8" s="151">
        <f aca="true" t="shared" si="4" ref="Q8:Q16">O8/N8*100</f>
        <v>94.96031096217646</v>
      </c>
      <c r="R8" s="15">
        <f>R9+R15+R18+R19+R23</f>
        <v>102514</v>
      </c>
      <c r="S8" s="15">
        <f>O8-R8</f>
        <v>9986.43000000008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484780.28</v>
      </c>
      <c r="G9" s="150">
        <f>F9-E9</f>
        <v>3540.280000000028</v>
      </c>
      <c r="H9" s="157">
        <f>F9/E9*100</f>
        <v>100.73565788380019</v>
      </c>
      <c r="I9" s="158">
        <f t="shared" si="0"/>
        <v>-281864.72</v>
      </c>
      <c r="J9" s="158">
        <f t="shared" si="1"/>
        <v>63.23399748253755</v>
      </c>
      <c r="K9" s="227">
        <v>339918.36</v>
      </c>
      <c r="L9" s="159">
        <f t="shared" si="2"/>
        <v>144861.92000000004</v>
      </c>
      <c r="M9" s="206">
        <f t="shared" si="3"/>
        <v>1.426166800757688</v>
      </c>
      <c r="N9" s="157">
        <f>E9-липень!E9</f>
        <v>64700</v>
      </c>
      <c r="O9" s="160">
        <f>F9-липень!F9</f>
        <v>65137.23000000004</v>
      </c>
      <c r="P9" s="161">
        <f>O9-N9</f>
        <v>437.2300000000396</v>
      </c>
      <c r="Q9" s="158">
        <f t="shared" si="4"/>
        <v>100.67578052550239</v>
      </c>
      <c r="R9" s="100">
        <v>71000</v>
      </c>
      <c r="S9" s="100">
        <f>O9-R9</f>
        <v>-5862.76999999996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437902</v>
      </c>
      <c r="F10" s="140">
        <v>443777.53</v>
      </c>
      <c r="G10" s="103">
        <f aca="true" t="shared" si="5" ref="G10:G35">F10-E10</f>
        <v>5875.530000000028</v>
      </c>
      <c r="H10" s="105">
        <f aca="true" t="shared" si="6" ref="H10:H15">F10/E10*100</f>
        <v>101.34174541335734</v>
      </c>
      <c r="I10" s="104">
        <f t="shared" si="0"/>
        <v>-257539.46999999997</v>
      </c>
      <c r="J10" s="104">
        <f t="shared" si="1"/>
        <v>63.2777374568134</v>
      </c>
      <c r="K10" s="106">
        <v>298673.41</v>
      </c>
      <c r="L10" s="106">
        <f t="shared" si="2"/>
        <v>145104.12000000005</v>
      </c>
      <c r="M10" s="207">
        <f t="shared" si="3"/>
        <v>1.4858287183984675</v>
      </c>
      <c r="N10" s="105">
        <f>E10-липень!E10</f>
        <v>59294</v>
      </c>
      <c r="O10" s="144">
        <f>F10-липень!F10</f>
        <v>59693.27000000002</v>
      </c>
      <c r="P10" s="106">
        <f aca="true" t="shared" si="7" ref="P10:P35">O10-N10</f>
        <v>399.2700000000186</v>
      </c>
      <c r="Q10" s="104">
        <f t="shared" si="4"/>
        <v>100.67337335986781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30180</v>
      </c>
      <c r="F11" s="140">
        <v>26169.54</v>
      </c>
      <c r="G11" s="103">
        <f t="shared" si="5"/>
        <v>-4010.459999999999</v>
      </c>
      <c r="H11" s="105">
        <f t="shared" si="6"/>
        <v>86.71153081510936</v>
      </c>
      <c r="I11" s="104">
        <f t="shared" si="0"/>
        <v>-20336.46</v>
      </c>
      <c r="J11" s="104">
        <f t="shared" si="1"/>
        <v>56.271319829699394</v>
      </c>
      <c r="K11" s="106">
        <v>24998.93</v>
      </c>
      <c r="L11" s="106">
        <f t="shared" si="2"/>
        <v>1170.6100000000006</v>
      </c>
      <c r="M11" s="207">
        <f t="shared" si="3"/>
        <v>1.0468264041700985</v>
      </c>
      <c r="N11" s="105">
        <f>E11-липень!E11</f>
        <v>3900</v>
      </c>
      <c r="O11" s="144">
        <f>F11-липень!F11</f>
        <v>3540.459999999999</v>
      </c>
      <c r="P11" s="106">
        <f t="shared" si="7"/>
        <v>-359.5400000000009</v>
      </c>
      <c r="Q11" s="104">
        <f t="shared" si="4"/>
        <v>90.78102564102562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5280</v>
      </c>
      <c r="F12" s="140">
        <v>6628.28</v>
      </c>
      <c r="G12" s="103">
        <f t="shared" si="5"/>
        <v>1348.2799999999997</v>
      </c>
      <c r="H12" s="105">
        <f t="shared" si="6"/>
        <v>125.53560606060606</v>
      </c>
      <c r="I12" s="104">
        <f t="shared" si="0"/>
        <v>-1651.7200000000003</v>
      </c>
      <c r="J12" s="104">
        <f t="shared" si="1"/>
        <v>80.05169082125605</v>
      </c>
      <c r="K12" s="106">
        <v>6686.39</v>
      </c>
      <c r="L12" s="106">
        <f t="shared" si="2"/>
        <v>-58.11000000000058</v>
      </c>
      <c r="M12" s="207">
        <f t="shared" si="3"/>
        <v>0.9913092116971938</v>
      </c>
      <c r="N12" s="105">
        <f>E12-липень!E12</f>
        <v>840</v>
      </c>
      <c r="O12" s="144">
        <f>F12-липень!F12</f>
        <v>1156.3499999999995</v>
      </c>
      <c r="P12" s="106">
        <f t="shared" si="7"/>
        <v>316.34999999999945</v>
      </c>
      <c r="Q12" s="104">
        <f t="shared" si="4"/>
        <v>137.66071428571422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7110</v>
      </c>
      <c r="F13" s="140">
        <v>7275.46</v>
      </c>
      <c r="G13" s="103">
        <f t="shared" si="5"/>
        <v>165.46000000000004</v>
      </c>
      <c r="H13" s="105">
        <f t="shared" si="6"/>
        <v>102.32714486638537</v>
      </c>
      <c r="I13" s="104">
        <f t="shared" si="0"/>
        <v>-2114.54</v>
      </c>
      <c r="J13" s="104">
        <f t="shared" si="1"/>
        <v>77.48093716719914</v>
      </c>
      <c r="K13" s="106">
        <v>7017.25</v>
      </c>
      <c r="L13" s="106">
        <f t="shared" si="2"/>
        <v>258.21000000000004</v>
      </c>
      <c r="M13" s="207">
        <f t="shared" si="3"/>
        <v>1.0367964658520075</v>
      </c>
      <c r="N13" s="105">
        <f>E13-липень!E13</f>
        <v>570</v>
      </c>
      <c r="O13" s="144">
        <f>F13-липень!F13</f>
        <v>638.5200000000004</v>
      </c>
      <c r="P13" s="106">
        <f t="shared" si="7"/>
        <v>68.52000000000044</v>
      </c>
      <c r="Q13" s="104">
        <f t="shared" si="4"/>
        <v>112.02105263157902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768</v>
      </c>
      <c r="F14" s="140">
        <v>929.47</v>
      </c>
      <c r="G14" s="103">
        <f t="shared" si="5"/>
        <v>161.47000000000003</v>
      </c>
      <c r="H14" s="105">
        <f t="shared" si="6"/>
        <v>121.02473958333333</v>
      </c>
      <c r="I14" s="104">
        <f t="shared" si="0"/>
        <v>-222.52999999999997</v>
      </c>
      <c r="J14" s="104">
        <f t="shared" si="1"/>
        <v>80.68315972222221</v>
      </c>
      <c r="K14" s="106">
        <v>2542.38</v>
      </c>
      <c r="L14" s="106">
        <f t="shared" si="2"/>
        <v>-1612.91</v>
      </c>
      <c r="M14" s="207">
        <f t="shared" si="3"/>
        <v>0.36559050967990625</v>
      </c>
      <c r="N14" s="105">
        <f>E14-липень!E14</f>
        <v>96</v>
      </c>
      <c r="O14" s="144">
        <f>F14-липень!F14</f>
        <v>108.63999999999999</v>
      </c>
      <c r="P14" s="106">
        <f t="shared" si="7"/>
        <v>12.639999999999986</v>
      </c>
      <c r="Q14" s="104">
        <f t="shared" si="4"/>
        <v>113.16666666666666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325.81</v>
      </c>
      <c r="G15" s="150">
        <f t="shared" si="5"/>
        <v>-125.19</v>
      </c>
      <c r="H15" s="157">
        <f t="shared" si="6"/>
        <v>72.24168514412416</v>
      </c>
      <c r="I15" s="158">
        <f t="shared" si="0"/>
        <v>-225.19</v>
      </c>
      <c r="J15" s="158">
        <f t="shared" si="1"/>
        <v>59.13067150635209</v>
      </c>
      <c r="K15" s="161">
        <v>385.26</v>
      </c>
      <c r="L15" s="161">
        <f t="shared" si="2"/>
        <v>-59.44999999999999</v>
      </c>
      <c r="M15" s="208">
        <f t="shared" si="3"/>
        <v>0.8456886258630536</v>
      </c>
      <c r="N15" s="157">
        <f>E15-липень!E15</f>
        <v>110</v>
      </c>
      <c r="O15" s="160">
        <f>F15-липень!F15</f>
        <v>280.82</v>
      </c>
      <c r="P15" s="161">
        <f t="shared" si="7"/>
        <v>170.82</v>
      </c>
      <c r="Q15" s="158">
        <f t="shared" si="4"/>
        <v>255.2909090909091</v>
      </c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5"/>
        <v>0</v>
      </c>
      <c r="H16" s="157" t="e">
        <f>F16/E16/100</f>
        <v>#DIV/0!</v>
      </c>
      <c r="I16" s="158">
        <f aca="true" t="shared" si="8" ref="I16:I39">F16-D16</f>
        <v>0</v>
      </c>
      <c r="J16" s="158" t="e">
        <f aca="true" t="shared" si="9" ref="J16:J39">F16/D16*100</f>
        <v>#DIV/0!</v>
      </c>
      <c r="K16" s="106">
        <v>0</v>
      </c>
      <c r="L16" s="161">
        <f t="shared" si="2"/>
        <v>0</v>
      </c>
      <c r="M16" s="208" t="e">
        <f t="shared" si="3"/>
        <v>#DIV/0!</v>
      </c>
      <c r="N16" s="157">
        <f>E16-липень!E16</f>
        <v>0</v>
      </c>
      <c r="O16" s="160">
        <f>F16-липень!F16</f>
        <v>0</v>
      </c>
      <c r="P16" s="161">
        <f t="shared" si="7"/>
        <v>0</v>
      </c>
      <c r="Q16" s="158" t="e">
        <f t="shared" si="4"/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5"/>
        <v>0.49</v>
      </c>
      <c r="H17" s="157"/>
      <c r="I17" s="158">
        <f t="shared" si="8"/>
        <v>0.49</v>
      </c>
      <c r="J17" s="158"/>
      <c r="K17" s="167">
        <v>0.17</v>
      </c>
      <c r="L17" s="161">
        <f t="shared" si="2"/>
        <v>0.31999999999999995</v>
      </c>
      <c r="M17" s="208">
        <f t="shared" si="3"/>
        <v>2.88235294117647</v>
      </c>
      <c r="N17" s="157">
        <f>E17-липень!E17</f>
        <v>0</v>
      </c>
      <c r="O17" s="160">
        <f>F17-липень!F17</f>
        <v>0</v>
      </c>
      <c r="P17" s="161">
        <f t="shared" si="7"/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5"/>
        <v>57.46000000000001</v>
      </c>
      <c r="H18" s="157">
        <f>F18/E18*100</f>
        <v>163.84444444444446</v>
      </c>
      <c r="I18" s="158">
        <f t="shared" si="8"/>
        <v>22.460000000000008</v>
      </c>
      <c r="J18" s="158">
        <f t="shared" si="9"/>
        <v>117.968</v>
      </c>
      <c r="K18" s="161">
        <v>105.8</v>
      </c>
      <c r="L18" s="161">
        <f t="shared" si="2"/>
        <v>41.66000000000001</v>
      </c>
      <c r="M18" s="208">
        <f t="shared" si="3"/>
        <v>1.3937618147448017</v>
      </c>
      <c r="N18" s="157">
        <f>E18-липень!E18</f>
        <v>20</v>
      </c>
      <c r="O18" s="160">
        <f>F18-липень!F18</f>
        <v>29.000000000000014</v>
      </c>
      <c r="P18" s="161">
        <f t="shared" si="7"/>
        <v>9.000000000000014</v>
      </c>
      <c r="Q18" s="158">
        <f aca="true" t="shared" si="10" ref="Q18:Q24">O18/N18*100</f>
        <v>145.00000000000006</v>
      </c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223">
        <v>64718.53</v>
      </c>
      <c r="G19" s="150">
        <f t="shared" si="5"/>
        <v>-18281.47</v>
      </c>
      <c r="H19" s="157">
        <f aca="true" t="shared" si="11" ref="H19:H39">F19/E19*100</f>
        <v>77.97413253012047</v>
      </c>
      <c r="I19" s="158">
        <f t="shared" si="8"/>
        <v>-65281.47</v>
      </c>
      <c r="J19" s="158">
        <f t="shared" si="9"/>
        <v>49.783484615384616</v>
      </c>
      <c r="K19" s="161">
        <v>64436.28</v>
      </c>
      <c r="L19" s="161">
        <f t="shared" si="2"/>
        <v>282.25</v>
      </c>
      <c r="M19" s="213">
        <f t="shared" si="3"/>
        <v>1.0043802963175403</v>
      </c>
      <c r="N19" s="157">
        <f>E19-липень!E19</f>
        <v>11900</v>
      </c>
      <c r="O19" s="160">
        <f>F19-липень!F19</f>
        <v>5318.199999999997</v>
      </c>
      <c r="P19" s="161">
        <f t="shared" si="7"/>
        <v>-6581.800000000003</v>
      </c>
      <c r="Q19" s="158">
        <f t="shared" si="10"/>
        <v>44.69075630252098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41666.15</v>
      </c>
      <c r="G20" s="253">
        <f t="shared" si="5"/>
        <v>-7733.8499999999985</v>
      </c>
      <c r="H20" s="195">
        <f t="shared" si="11"/>
        <v>84.34443319838057</v>
      </c>
      <c r="I20" s="254">
        <f t="shared" si="8"/>
        <v>-34833.85</v>
      </c>
      <c r="J20" s="254">
        <f t="shared" si="9"/>
        <v>54.465555555555554</v>
      </c>
      <c r="K20" s="166">
        <v>64436.28</v>
      </c>
      <c r="L20" s="166">
        <f t="shared" si="2"/>
        <v>-22770.129999999997</v>
      </c>
      <c r="M20" s="256">
        <f t="shared" si="3"/>
        <v>0.6466256276743475</v>
      </c>
      <c r="N20" s="195">
        <f>E20-липень!E20</f>
        <v>6950</v>
      </c>
      <c r="O20" s="179">
        <f>F20-липень!F20</f>
        <v>5318.190000000002</v>
      </c>
      <c r="P20" s="166">
        <f t="shared" si="7"/>
        <v>-1631.8099999999977</v>
      </c>
      <c r="Q20" s="254">
        <f t="shared" si="10"/>
        <v>76.52071942446047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253">
        <f t="shared" si="5"/>
        <v>-1857.6800000000003</v>
      </c>
      <c r="H21" s="195">
        <f t="shared" si="11"/>
        <v>72.68117647058823</v>
      </c>
      <c r="I21" s="254">
        <f t="shared" si="8"/>
        <v>-5757.68</v>
      </c>
      <c r="J21" s="254">
        <f t="shared" si="9"/>
        <v>46.18990654205607</v>
      </c>
      <c r="K21" s="255">
        <v>0</v>
      </c>
      <c r="L21" s="166">
        <f t="shared" si="2"/>
        <v>4942.32</v>
      </c>
      <c r="M21" s="256"/>
      <c r="N21" s="195">
        <f>E21-липень!E21</f>
        <v>950</v>
      </c>
      <c r="O21" s="179">
        <f>F21-липень!F21</f>
        <v>0</v>
      </c>
      <c r="P21" s="166">
        <f t="shared" si="7"/>
        <v>-950</v>
      </c>
      <c r="Q21" s="254">
        <f t="shared" si="10"/>
        <v>0</v>
      </c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253">
        <f t="shared" si="5"/>
        <v>-8689.95</v>
      </c>
      <c r="H22" s="195">
        <f t="shared" si="11"/>
        <v>67.57481343283582</v>
      </c>
      <c r="I22" s="254">
        <f t="shared" si="8"/>
        <v>-24689.95</v>
      </c>
      <c r="J22" s="254">
        <f t="shared" si="9"/>
        <v>42.313200934579434</v>
      </c>
      <c r="K22" s="255">
        <v>0</v>
      </c>
      <c r="L22" s="166">
        <f t="shared" si="2"/>
        <v>18110.05</v>
      </c>
      <c r="M22" s="256"/>
      <c r="N22" s="195">
        <f>E22-липень!E22</f>
        <v>4000</v>
      </c>
      <c r="O22" s="179">
        <f>F22-липень!F22</f>
        <v>0</v>
      </c>
      <c r="P22" s="166">
        <f t="shared" si="7"/>
        <v>-4000</v>
      </c>
      <c r="Q22" s="254">
        <f t="shared" si="10"/>
        <v>0</v>
      </c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288100.91000000003</v>
      </c>
      <c r="G23" s="150">
        <f t="shared" si="5"/>
        <v>7070.710000000021</v>
      </c>
      <c r="H23" s="157">
        <f t="shared" si="11"/>
        <v>102.51599650144362</v>
      </c>
      <c r="I23" s="158">
        <f t="shared" si="8"/>
        <v>-113029.18999999994</v>
      </c>
      <c r="J23" s="158">
        <f t="shared" si="9"/>
        <v>71.82231151439396</v>
      </c>
      <c r="K23" s="158">
        <v>228674.96</v>
      </c>
      <c r="L23" s="161">
        <f t="shared" si="2"/>
        <v>59425.95000000004</v>
      </c>
      <c r="M23" s="209">
        <f aca="true" t="shared" si="12" ref="M23:M31">F23/K23</f>
        <v>1.2598708227608306</v>
      </c>
      <c r="N23" s="157">
        <f>E23-липень!E23</f>
        <v>41741</v>
      </c>
      <c r="O23" s="160">
        <f>F23-липень!F23</f>
        <v>41735.18000000005</v>
      </c>
      <c r="P23" s="161">
        <f t="shared" si="7"/>
        <v>-5.819999999948777</v>
      </c>
      <c r="Q23" s="158">
        <f t="shared" si="10"/>
        <v>99.98605687453596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137155.66</v>
      </c>
      <c r="G24" s="150">
        <f t="shared" si="5"/>
        <v>-390.2399999999907</v>
      </c>
      <c r="H24" s="157">
        <f t="shared" si="11"/>
        <v>99.71628380053495</v>
      </c>
      <c r="I24" s="158">
        <f t="shared" si="8"/>
        <v>-69465.34</v>
      </c>
      <c r="J24" s="158">
        <f t="shared" si="9"/>
        <v>66.38030984265878</v>
      </c>
      <c r="K24" s="158">
        <v>121679.97</v>
      </c>
      <c r="L24" s="161">
        <f t="shared" si="2"/>
        <v>15475.690000000002</v>
      </c>
      <c r="M24" s="209">
        <f t="shared" si="12"/>
        <v>1.1271835454923271</v>
      </c>
      <c r="N24" s="157">
        <f>E24-липень!E24</f>
        <v>17475</v>
      </c>
      <c r="O24" s="160">
        <f>F24-липень!F24</f>
        <v>16520.61</v>
      </c>
      <c r="P24" s="161">
        <f t="shared" si="7"/>
        <v>-954.3899999999994</v>
      </c>
      <c r="Q24" s="158">
        <f t="shared" si="10"/>
        <v>94.53854077253219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253">
        <v>22809</v>
      </c>
      <c r="E25" s="303">
        <v>16354.1</v>
      </c>
      <c r="F25" s="201">
        <v>16900.15</v>
      </c>
      <c r="G25" s="253">
        <f t="shared" si="5"/>
        <v>546.0500000000011</v>
      </c>
      <c r="H25" s="195">
        <f t="shared" si="11"/>
        <v>103.33891806947494</v>
      </c>
      <c r="I25" s="254">
        <f t="shared" si="8"/>
        <v>-5908.8499999999985</v>
      </c>
      <c r="J25" s="254">
        <f t="shared" si="9"/>
        <v>74.0942171949669</v>
      </c>
      <c r="K25" s="304">
        <v>14873.47</v>
      </c>
      <c r="L25" s="166">
        <f t="shared" si="2"/>
        <v>2026.680000000002</v>
      </c>
      <c r="M25" s="215">
        <f t="shared" si="12"/>
        <v>1.1362614104173405</v>
      </c>
      <c r="N25" s="195">
        <f>E25-липень!E25</f>
        <v>1155</v>
      </c>
      <c r="O25" s="179">
        <f>F25-липень!F25</f>
        <v>1037.7900000000009</v>
      </c>
      <c r="P25" s="166">
        <f t="shared" si="7"/>
        <v>-117.20999999999913</v>
      </c>
      <c r="Q25" s="254">
        <f aca="true" t="shared" si="13" ref="Q25:Q35">O25/N25*100</f>
        <v>89.85194805194813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1265</v>
      </c>
      <c r="F26" s="199">
        <v>822.95</v>
      </c>
      <c r="G26" s="223">
        <f t="shared" si="5"/>
        <v>-442.04999999999995</v>
      </c>
      <c r="H26" s="237">
        <f t="shared" si="11"/>
        <v>65.05533596837945</v>
      </c>
      <c r="I26" s="299">
        <f t="shared" si="8"/>
        <v>-999.3499999999999</v>
      </c>
      <c r="J26" s="299">
        <f t="shared" si="9"/>
        <v>45.15996268451957</v>
      </c>
      <c r="K26" s="200">
        <v>623.64</v>
      </c>
      <c r="L26" s="200">
        <f>K26-F26</f>
        <v>-199.31000000000006</v>
      </c>
      <c r="M26" s="228">
        <f t="shared" si="12"/>
        <v>1.3195914309537555</v>
      </c>
      <c r="N26" s="237">
        <f>E26-липень!E26</f>
        <v>105</v>
      </c>
      <c r="O26" s="237">
        <f>F26-липень!F26</f>
        <v>386.32000000000005</v>
      </c>
      <c r="P26" s="299">
        <f t="shared" si="7"/>
        <v>281.32000000000005</v>
      </c>
      <c r="Q26" s="299">
        <f t="shared" si="13"/>
        <v>367.9238095238096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15089.1</v>
      </c>
      <c r="F27" s="199">
        <v>16077.21</v>
      </c>
      <c r="G27" s="223">
        <f t="shared" si="5"/>
        <v>988.1099999999988</v>
      </c>
      <c r="H27" s="237">
        <f t="shared" si="11"/>
        <v>106.54850189872158</v>
      </c>
      <c r="I27" s="299">
        <f t="shared" si="8"/>
        <v>-4909.490000000002</v>
      </c>
      <c r="J27" s="299">
        <f t="shared" si="9"/>
        <v>76.60666040873505</v>
      </c>
      <c r="K27" s="200">
        <v>14249.83</v>
      </c>
      <c r="L27" s="200">
        <f>K27-F27</f>
        <v>-1827.3799999999992</v>
      </c>
      <c r="M27" s="228">
        <f t="shared" si="12"/>
        <v>1.1282387228479216</v>
      </c>
      <c r="N27" s="237">
        <f>E27-липень!E27</f>
        <v>1050</v>
      </c>
      <c r="O27" s="237">
        <f>F27-липень!F27</f>
        <v>651.4799999999996</v>
      </c>
      <c r="P27" s="299">
        <f t="shared" si="7"/>
        <v>-398.52000000000044</v>
      </c>
      <c r="Q27" s="299">
        <f t="shared" si="13"/>
        <v>62.04571428571425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-5.5</v>
      </c>
      <c r="G28" s="253">
        <f t="shared" si="5"/>
        <v>-367.3</v>
      </c>
      <c r="H28" s="195">
        <f t="shared" si="11"/>
        <v>-1.5201768933112216</v>
      </c>
      <c r="I28" s="254">
        <f t="shared" si="8"/>
        <v>-825.5</v>
      </c>
      <c r="J28" s="254">
        <f t="shared" si="9"/>
        <v>-0.6707317073170732</v>
      </c>
      <c r="K28" s="174">
        <v>669.01</v>
      </c>
      <c r="L28" s="174">
        <f aca="true" t="shared" si="14" ref="L28:L39">F28-K28</f>
        <v>-674.51</v>
      </c>
      <c r="M28" s="212">
        <f t="shared" si="12"/>
        <v>-0.008221102823575133</v>
      </c>
      <c r="N28" s="195">
        <f>E28-липень!E28</f>
        <v>105</v>
      </c>
      <c r="O28" s="179">
        <f>F28-липень!F28</f>
        <v>35.31</v>
      </c>
      <c r="P28" s="166">
        <f t="shared" si="7"/>
        <v>-69.69</v>
      </c>
      <c r="Q28" s="254">
        <f t="shared" si="13"/>
        <v>33.62857142857143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120261.01</v>
      </c>
      <c r="G29" s="150">
        <f t="shared" si="5"/>
        <v>-568.9900000000052</v>
      </c>
      <c r="H29" s="195">
        <f t="shared" si="11"/>
        <v>99.52909873375818</v>
      </c>
      <c r="I29" s="254">
        <f t="shared" si="8"/>
        <v>-62730.990000000005</v>
      </c>
      <c r="J29" s="254">
        <f t="shared" si="9"/>
        <v>65.71927188073795</v>
      </c>
      <c r="K29" s="175">
        <v>106137.5</v>
      </c>
      <c r="L29" s="175">
        <f t="shared" si="14"/>
        <v>14123.509999999995</v>
      </c>
      <c r="M29" s="211">
        <f t="shared" si="12"/>
        <v>1.1330680485219644</v>
      </c>
      <c r="N29" s="195">
        <f>E29-липень!E29</f>
        <v>16215</v>
      </c>
      <c r="O29" s="179">
        <f>F29-липень!F29</f>
        <v>15447.509999999995</v>
      </c>
      <c r="P29" s="166">
        <f t="shared" si="7"/>
        <v>-767.4900000000052</v>
      </c>
      <c r="Q29" s="254">
        <f t="shared" si="13"/>
        <v>95.26679000925066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38215</v>
      </c>
      <c r="F30" s="199">
        <v>40713.77</v>
      </c>
      <c r="G30" s="223">
        <f t="shared" si="5"/>
        <v>2498.769999999997</v>
      </c>
      <c r="H30" s="237">
        <f t="shared" si="11"/>
        <v>106.53871516420253</v>
      </c>
      <c r="I30" s="299">
        <f t="shared" si="8"/>
        <v>-16819.230000000003</v>
      </c>
      <c r="J30" s="299">
        <f t="shared" si="9"/>
        <v>70.7659430240036</v>
      </c>
      <c r="K30" s="200">
        <v>34037.82</v>
      </c>
      <c r="L30" s="200">
        <f t="shared" si="14"/>
        <v>6675.949999999997</v>
      </c>
      <c r="M30" s="228">
        <f t="shared" si="12"/>
        <v>1.1961333011338564</v>
      </c>
      <c r="N30" s="237">
        <f>E30-липень!E30</f>
        <v>5500</v>
      </c>
      <c r="O30" s="237">
        <f>F30-липень!F30</f>
        <v>4857.889999999999</v>
      </c>
      <c r="P30" s="299">
        <f t="shared" si="7"/>
        <v>-642.1100000000006</v>
      </c>
      <c r="Q30" s="299">
        <f t="shared" si="13"/>
        <v>88.32527272727272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82615</v>
      </c>
      <c r="F31" s="199">
        <v>79547.24</v>
      </c>
      <c r="G31" s="223">
        <f t="shared" si="5"/>
        <v>-3067.7599999999948</v>
      </c>
      <c r="H31" s="237">
        <f t="shared" si="11"/>
        <v>96.28667917448406</v>
      </c>
      <c r="I31" s="299">
        <f t="shared" si="8"/>
        <v>-45911.759999999995</v>
      </c>
      <c r="J31" s="299">
        <f t="shared" si="9"/>
        <v>63.40496895400092</v>
      </c>
      <c r="K31" s="200">
        <v>72099.67</v>
      </c>
      <c r="L31" s="200">
        <f t="shared" si="14"/>
        <v>7447.570000000007</v>
      </c>
      <c r="M31" s="228">
        <f t="shared" si="12"/>
        <v>1.103295479715788</v>
      </c>
      <c r="N31" s="237">
        <f>E31-липень!E31</f>
        <v>10715</v>
      </c>
      <c r="O31" s="237">
        <f>F31-липень!F31</f>
        <v>10589.62000000001</v>
      </c>
      <c r="P31" s="299">
        <f t="shared" si="7"/>
        <v>-125.3799999999901</v>
      </c>
      <c r="Q31" s="299">
        <f t="shared" si="13"/>
        <v>98.82986467568838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5"/>
        <v>0.2</v>
      </c>
      <c r="H32" s="157"/>
      <c r="I32" s="158">
        <f t="shared" si="8"/>
        <v>0.2</v>
      </c>
      <c r="J32" s="158"/>
      <c r="K32" s="167">
        <v>0.15</v>
      </c>
      <c r="L32" s="158">
        <f t="shared" si="14"/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 t="shared" si="7"/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114.06</v>
      </c>
      <c r="G33" s="150">
        <f t="shared" si="5"/>
        <v>42.46000000000001</v>
      </c>
      <c r="H33" s="157">
        <f t="shared" si="11"/>
        <v>159.30167597765364</v>
      </c>
      <c r="I33" s="158">
        <f t="shared" si="8"/>
        <v>-0.9399999999999977</v>
      </c>
      <c r="J33" s="158">
        <f t="shared" si="9"/>
        <v>99.18260869565218</v>
      </c>
      <c r="K33" s="158">
        <v>85.95</v>
      </c>
      <c r="L33" s="158">
        <f t="shared" si="14"/>
        <v>28.11</v>
      </c>
      <c r="M33" s="210">
        <f aca="true" t="shared" si="15" ref="M33:M42">F33/K33</f>
        <v>1.3270506108202442</v>
      </c>
      <c r="N33" s="157">
        <f>E33-липень!E33</f>
        <v>15.999999999999993</v>
      </c>
      <c r="O33" s="160">
        <f>F33-липень!F33</f>
        <v>27.61</v>
      </c>
      <c r="P33" s="161">
        <f t="shared" si="7"/>
        <v>11.610000000000007</v>
      </c>
      <c r="Q33" s="158">
        <f t="shared" si="13"/>
        <v>172.56250000000006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-38.21</v>
      </c>
      <c r="G34" s="150">
        <f t="shared" si="5"/>
        <v>-38.21</v>
      </c>
      <c r="H34" s="157"/>
      <c r="I34" s="158">
        <f t="shared" si="8"/>
        <v>-38.21</v>
      </c>
      <c r="J34" s="158"/>
      <c r="K34" s="158">
        <v>-150.23</v>
      </c>
      <c r="L34" s="158">
        <f t="shared" si="14"/>
        <v>112.01999999999998</v>
      </c>
      <c r="M34" s="210">
        <f t="shared" si="15"/>
        <v>0.25434334021167543</v>
      </c>
      <c r="N34" s="157">
        <f>E34-липень!E34</f>
        <v>0</v>
      </c>
      <c r="O34" s="160">
        <f>F34-липень!F34</f>
        <v>-3.289999999999999</v>
      </c>
      <c r="P34" s="161">
        <f t="shared" si="7"/>
        <v>-3.289999999999999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150869.2</v>
      </c>
      <c r="G35" s="150">
        <f t="shared" si="5"/>
        <v>7456.5</v>
      </c>
      <c r="H35" s="157">
        <f t="shared" si="11"/>
        <v>105.19933032430183</v>
      </c>
      <c r="I35" s="158">
        <f t="shared" si="8"/>
        <v>-43524.899999999994</v>
      </c>
      <c r="J35" s="158">
        <f t="shared" si="9"/>
        <v>77.60996861530262</v>
      </c>
      <c r="K35" s="178">
        <v>107059.12</v>
      </c>
      <c r="L35" s="178">
        <f t="shared" si="14"/>
        <v>43810.080000000016</v>
      </c>
      <c r="M35" s="226">
        <f t="shared" si="15"/>
        <v>1.4092138997593107</v>
      </c>
      <c r="N35" s="157">
        <f>E35-липень!E35</f>
        <v>24250.000000000015</v>
      </c>
      <c r="O35" s="160">
        <f>F35-липень!F35</f>
        <v>25190.250000000015</v>
      </c>
      <c r="P35" s="161">
        <f t="shared" si="7"/>
        <v>940.25</v>
      </c>
      <c r="Q35" s="158">
        <f t="shared" si="13"/>
        <v>103.87731958762888</v>
      </c>
      <c r="R35" s="293">
        <v>7700</v>
      </c>
      <c r="S35" s="293">
        <f>#N/A</f>
        <v>-5354.399999999994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8"/>
        <v>0.01</v>
      </c>
      <c r="J36" s="104"/>
      <c r="K36" s="127">
        <v>0.23</v>
      </c>
      <c r="L36" s="127">
        <f t="shared" si="14"/>
        <v>-0.22</v>
      </c>
      <c r="M36" s="216">
        <f t="shared" si="15"/>
        <v>0.043478260869565216</v>
      </c>
      <c r="N36" s="105">
        <f>E36-липень!E36</f>
        <v>0</v>
      </c>
      <c r="O36" s="144">
        <f>F36-липень!F36</f>
        <v>0</v>
      </c>
      <c r="P36" s="106">
        <f>O36-N36</f>
        <v>0</v>
      </c>
      <c r="Q36" s="104"/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29520</v>
      </c>
      <c r="F37" s="140">
        <v>30163.42</v>
      </c>
      <c r="G37" s="103">
        <f>F37-E37</f>
        <v>643.4199999999983</v>
      </c>
      <c r="H37" s="105">
        <f t="shared" si="11"/>
        <v>102.17960704607046</v>
      </c>
      <c r="I37" s="104">
        <f t="shared" si="8"/>
        <v>-10836.580000000002</v>
      </c>
      <c r="J37" s="104">
        <f t="shared" si="9"/>
        <v>73.56931707317072</v>
      </c>
      <c r="K37" s="127">
        <v>27383.08</v>
      </c>
      <c r="L37" s="127">
        <f t="shared" si="14"/>
        <v>2780.3399999999965</v>
      </c>
      <c r="M37" s="216">
        <f t="shared" si="15"/>
        <v>1.101534962465873</v>
      </c>
      <c r="N37" s="105">
        <f>E37-липень!E37</f>
        <v>6250</v>
      </c>
      <c r="O37" s="144">
        <f>F37-липень!F37</f>
        <v>6071.489999999998</v>
      </c>
      <c r="P37" s="106">
        <f>O37-N37</f>
        <v>-178.51000000000204</v>
      </c>
      <c r="Q37" s="104">
        <f>O37/N37*100</f>
        <v>97.14383999999997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113860</v>
      </c>
      <c r="F38" s="140">
        <v>120675.69</v>
      </c>
      <c r="G38" s="103">
        <f>F38-E38</f>
        <v>6815.690000000002</v>
      </c>
      <c r="H38" s="105">
        <f t="shared" si="11"/>
        <v>105.98602669945546</v>
      </c>
      <c r="I38" s="104">
        <f t="shared" si="8"/>
        <v>-32663.410000000003</v>
      </c>
      <c r="J38" s="104">
        <f t="shared" si="9"/>
        <v>78.69857720568335</v>
      </c>
      <c r="K38" s="127">
        <v>79650.8</v>
      </c>
      <c r="L38" s="127">
        <f t="shared" si="14"/>
        <v>41024.89</v>
      </c>
      <c r="M38" s="216">
        <f t="shared" si="15"/>
        <v>1.5150593591024824</v>
      </c>
      <c r="N38" s="105">
        <f>E38-липень!E38</f>
        <v>18000</v>
      </c>
      <c r="O38" s="144">
        <f>F38-липень!F38</f>
        <v>19118.76000000001</v>
      </c>
      <c r="P38" s="106">
        <f>O38-N38</f>
        <v>1118.7600000000093</v>
      </c>
      <c r="Q38" s="104">
        <f>O38/N38*100</f>
        <v>106.21533333333339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F39-E39</f>
        <v>-2.6300000000000026</v>
      </c>
      <c r="H39" s="105">
        <f t="shared" si="11"/>
        <v>91.95718654434249</v>
      </c>
      <c r="I39" s="104">
        <f t="shared" si="8"/>
        <v>-24.93</v>
      </c>
      <c r="J39" s="104">
        <f t="shared" si="9"/>
        <v>54.67272727272727</v>
      </c>
      <c r="K39" s="127">
        <v>25</v>
      </c>
      <c r="L39" s="127">
        <f t="shared" si="14"/>
        <v>5.07</v>
      </c>
      <c r="M39" s="216">
        <f t="shared" si="15"/>
        <v>1.2028</v>
      </c>
      <c r="N39" s="105">
        <f>E39-липень!E39</f>
        <v>0</v>
      </c>
      <c r="O39" s="144">
        <f>F39-липень!F39</f>
        <v>0</v>
      </c>
      <c r="P39" s="106">
        <f>O39-N39</f>
        <v>0</v>
      </c>
      <c r="Q39" s="104" t="e">
        <f>O39/N39*100</f>
        <v>#DIV/0!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103">
        <f>F40-E40</f>
        <v>0</v>
      </c>
      <c r="H40" s="157"/>
      <c r="I40" s="37">
        <f>#N/A</f>
        <v>0</v>
      </c>
      <c r="J40" s="37"/>
      <c r="K40" s="119">
        <v>0</v>
      </c>
      <c r="L40" s="119">
        <f>#N/A</f>
        <v>0</v>
      </c>
      <c r="M40" s="217" t="e">
        <f t="shared" si="15"/>
        <v>#DIV/0!</v>
      </c>
      <c r="N40" s="157">
        <v>0</v>
      </c>
      <c r="O40" s="160">
        <f>F40-липень!F40</f>
        <v>0</v>
      </c>
      <c r="P40" s="36">
        <f>O40-N40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47414.899999999994</v>
      </c>
      <c r="G41" s="287">
        <f>G42+G43+G44+G45+G46+G48+G50+G51+G52+G53+G54+G59+G60+G64+G47+G49</f>
        <v>6837.4</v>
      </c>
      <c r="H41" s="287">
        <f>H42+H43+H44+H45+H46+H48+H50+H51+H52+H53+H54+H59+H60+H64+H47+H49</f>
        <v>6837.4</v>
      </c>
      <c r="I41" s="153">
        <f>F41-D41</f>
        <v>-11610.100000000006</v>
      </c>
      <c r="J41" s="153">
        <f>F41/D41*100</f>
        <v>80.33019906819143</v>
      </c>
      <c r="K41" s="287">
        <v>42988.26</v>
      </c>
      <c r="L41" s="151">
        <f>F41-K41</f>
        <v>4426.639999999992</v>
      </c>
      <c r="M41" s="205">
        <f t="shared" si="15"/>
        <v>1.1029732303656856</v>
      </c>
      <c r="N41" s="151">
        <f>N42+N43+N44+N45+N46+N48+N50+N51+N52+N53+N54+N59+N60+N64+N47+N49</f>
        <v>5383.8</v>
      </c>
      <c r="O41" s="287">
        <f>O42+O43+O44+O45+O46+O48+O50+O51+O52+O53+O54+O59+O60+O64+O47+O49</f>
        <v>6951.510000000001</v>
      </c>
      <c r="P41" s="151">
        <f>P42+P43+P44+P45+P46+P48+P50+P51+P52+P53+P54+P59+P60+P64</f>
        <v>1573.9100000000003</v>
      </c>
      <c r="Q41" s="151">
        <f>O41/N41*100</f>
        <v>129.11902373788033</v>
      </c>
      <c r="R41" s="15">
        <f>R42+R43+R44+R45+R46+R47+R48+R50+R51+R52+R53+R54+R59+R60+R64</f>
        <v>5598.5</v>
      </c>
      <c r="S41" s="15">
        <f>O41-R41</f>
        <v>1353.0100000000011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16" ref="G42:G66">F42-E42</f>
        <v>3077.9</v>
      </c>
      <c r="H42" s="164">
        <f>F42-E42</f>
        <v>3077.9</v>
      </c>
      <c r="I42" s="165">
        <f>F42-D42</f>
        <v>2977.9</v>
      </c>
      <c r="J42" s="165">
        <f>F42/D42*100</f>
        <v>613.4310344827586</v>
      </c>
      <c r="K42" s="165">
        <v>416.84</v>
      </c>
      <c r="L42" s="165">
        <f>F42-K42</f>
        <v>3141.06</v>
      </c>
      <c r="M42" s="218">
        <f t="shared" si="15"/>
        <v>8.535409269743788</v>
      </c>
      <c r="N42" s="157">
        <f>E42-липень!E42</f>
        <v>220</v>
      </c>
      <c r="O42" s="160">
        <f>F42-липень!F42</f>
        <v>1352.58</v>
      </c>
      <c r="P42" s="161">
        <f aca="true" t="shared" si="17" ref="P42:P66">O42-N42</f>
        <v>1132.58</v>
      </c>
      <c r="Q42" s="165">
        <f>O42/N42</f>
        <v>6.148090909090909</v>
      </c>
      <c r="R42" s="37">
        <v>0</v>
      </c>
      <c r="S42" s="37">
        <f>O42-R42</f>
        <v>1352.58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18068.14</v>
      </c>
      <c r="G43" s="150">
        <f t="shared" si="16"/>
        <v>-1231.8600000000006</v>
      </c>
      <c r="H43" s="164">
        <f aca="true" t="shared" si="18" ref="H43:H66">F43-E43</f>
        <v>-1231.8600000000006</v>
      </c>
      <c r="I43" s="165">
        <f aca="true" t="shared" si="19" ref="I43:I66">F43-D43</f>
        <v>-11931.86</v>
      </c>
      <c r="J43" s="165">
        <f>F43/D43*100</f>
        <v>60.22713333333333</v>
      </c>
      <c r="K43" s="165">
        <v>20560.18</v>
      </c>
      <c r="L43" s="165">
        <f aca="true" t="shared" si="20" ref="L43:L66">F43-K43</f>
        <v>-2492.040000000001</v>
      </c>
      <c r="M43" s="218">
        <f aca="true" t="shared" si="21" ref="M43:M66">F43/K43</f>
        <v>0.878792889945516</v>
      </c>
      <c r="N43" s="157">
        <f>E43-липень!E43</f>
        <v>2800</v>
      </c>
      <c r="O43" s="160">
        <f>F43-липень!F43</f>
        <v>2175.51</v>
      </c>
      <c r="P43" s="161">
        <f t="shared" si="17"/>
        <v>-624.4899999999998</v>
      </c>
      <c r="Q43" s="165">
        <f aca="true" t="shared" si="22" ref="Q43:Q65">O43/N43</f>
        <v>0.7769678571428572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123.3</v>
      </c>
      <c r="G44" s="150">
        <f t="shared" si="16"/>
        <v>99.3</v>
      </c>
      <c r="H44" s="164">
        <f t="shared" si="18"/>
        <v>99.3</v>
      </c>
      <c r="I44" s="165">
        <f t="shared" si="19"/>
        <v>83.3</v>
      </c>
      <c r="J44" s="165">
        <f aca="true" t="shared" si="23" ref="J44:J65">F44/D44*100</f>
        <v>308.25</v>
      </c>
      <c r="K44" s="165">
        <v>28.07</v>
      </c>
      <c r="L44" s="165">
        <f t="shared" si="20"/>
        <v>95.22999999999999</v>
      </c>
      <c r="M44" s="218">
        <f t="shared" si="21"/>
        <v>4.39258995368721</v>
      </c>
      <c r="N44" s="157">
        <f>E44-липень!E44</f>
        <v>1</v>
      </c>
      <c r="O44" s="160">
        <f>F44-липень!F44</f>
        <v>5</v>
      </c>
      <c r="P44" s="161">
        <f t="shared" si="17"/>
        <v>4</v>
      </c>
      <c r="Q44" s="165">
        <f t="shared" si="22"/>
        <v>5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>
        <f t="shared" si="18"/>
        <v>12.95</v>
      </c>
      <c r="I45" s="165">
        <f t="shared" si="19"/>
        <v>12.95</v>
      </c>
      <c r="J45" s="165"/>
      <c r="K45" s="165">
        <v>0.1</v>
      </c>
      <c r="L45" s="165">
        <f t="shared" si="20"/>
        <v>12.85</v>
      </c>
      <c r="M45" s="218"/>
      <c r="N45" s="157">
        <f>E45-липень!E45</f>
        <v>0</v>
      </c>
      <c r="O45" s="160">
        <f>F45-липень!F45</f>
        <v>2.16</v>
      </c>
      <c r="P45" s="161">
        <f t="shared" si="17"/>
        <v>2.16</v>
      </c>
      <c r="Q45" s="165"/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599.15</v>
      </c>
      <c r="G46" s="150">
        <f t="shared" si="16"/>
        <v>427.15</v>
      </c>
      <c r="H46" s="164">
        <f t="shared" si="18"/>
        <v>427.15</v>
      </c>
      <c r="I46" s="165">
        <f t="shared" si="19"/>
        <v>339.15</v>
      </c>
      <c r="J46" s="165">
        <f t="shared" si="23"/>
        <v>230.44230769230768</v>
      </c>
      <c r="K46" s="165">
        <v>195.12</v>
      </c>
      <c r="L46" s="165">
        <f t="shared" si="20"/>
        <v>404.03</v>
      </c>
      <c r="M46" s="218">
        <f t="shared" si="21"/>
        <v>3.0706744567445674</v>
      </c>
      <c r="N46" s="157">
        <f>E46-липень!E46</f>
        <v>22</v>
      </c>
      <c r="O46" s="160">
        <f>F46-липень!F46</f>
        <v>53.559999999999945</v>
      </c>
      <c r="P46" s="161">
        <f t="shared" si="17"/>
        <v>31.559999999999945</v>
      </c>
      <c r="Q46" s="165">
        <f t="shared" si="22"/>
        <v>2.434545454545452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71.63</v>
      </c>
      <c r="G47" s="150">
        <f t="shared" si="16"/>
        <v>3.6299999999999955</v>
      </c>
      <c r="H47" s="164">
        <f t="shared" si="18"/>
        <v>3.6299999999999955</v>
      </c>
      <c r="I47" s="165">
        <f t="shared" si="19"/>
        <v>-25.870000000000005</v>
      </c>
      <c r="J47" s="165">
        <f t="shared" si="23"/>
        <v>73.46666666666665</v>
      </c>
      <c r="K47" s="165">
        <v>41.15</v>
      </c>
      <c r="L47" s="165">
        <f t="shared" si="20"/>
        <v>30.479999999999997</v>
      </c>
      <c r="M47" s="218">
        <f t="shared" si="21"/>
        <v>1.7407047387606318</v>
      </c>
      <c r="N47" s="157">
        <f>E47-липень!E47</f>
        <v>6.799999999999997</v>
      </c>
      <c r="O47" s="160">
        <f>F47-липень!F47</f>
        <v>0.5999999999999943</v>
      </c>
      <c r="P47" s="161">
        <f t="shared" si="17"/>
        <v>-6.200000000000003</v>
      </c>
      <c r="Q47" s="165">
        <f t="shared" si="22"/>
        <v>0.08823529411764626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812.87</v>
      </c>
      <c r="G48" s="150">
        <f t="shared" si="16"/>
        <v>232.87</v>
      </c>
      <c r="H48" s="164">
        <f t="shared" si="18"/>
        <v>232.87</v>
      </c>
      <c r="I48" s="165">
        <f t="shared" si="19"/>
        <v>82.87</v>
      </c>
      <c r="J48" s="165">
        <f t="shared" si="23"/>
        <v>111.35205479452055</v>
      </c>
      <c r="K48" s="165">
        <v>328.11</v>
      </c>
      <c r="L48" s="165">
        <f t="shared" si="20"/>
        <v>484.76</v>
      </c>
      <c r="M48" s="218">
        <f t="shared" si="21"/>
        <v>2.477431349242632</v>
      </c>
      <c r="N48" s="157">
        <f>E48-липень!E48</f>
        <v>60</v>
      </c>
      <c r="O48" s="160">
        <f>F48-липень!F48</f>
        <v>98.26999999999998</v>
      </c>
      <c r="P48" s="161">
        <f t="shared" si="17"/>
        <v>38.26999999999998</v>
      </c>
      <c r="Q48" s="165">
        <f t="shared" si="22"/>
        <v>1.637833333333333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>
        <f t="shared" si="18"/>
        <v>23.38</v>
      </c>
      <c r="I49" s="165">
        <f t="shared" si="19"/>
        <v>23.38</v>
      </c>
      <c r="J49" s="165" t="e">
        <f t="shared" si="23"/>
        <v>#DIV/0!</v>
      </c>
      <c r="K49" s="165"/>
      <c r="L49" s="165">
        <f t="shared" si="20"/>
        <v>23.38</v>
      </c>
      <c r="M49" s="218" t="e">
        <f t="shared" si="21"/>
        <v>#DIV/0!</v>
      </c>
      <c r="N49" s="157">
        <f>E49-липень!E49</f>
        <v>0</v>
      </c>
      <c r="O49" s="160">
        <f>F49-липень!F49</f>
        <v>0</v>
      </c>
      <c r="P49" s="161">
        <f t="shared" si="17"/>
        <v>0</v>
      </c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12913.82</v>
      </c>
      <c r="G50" s="150">
        <f t="shared" si="16"/>
        <v>4973.82</v>
      </c>
      <c r="H50" s="164">
        <f t="shared" si="18"/>
        <v>4973.82</v>
      </c>
      <c r="I50" s="165">
        <f t="shared" si="19"/>
        <v>1913.8199999999997</v>
      </c>
      <c r="J50" s="165">
        <f t="shared" si="23"/>
        <v>117.39836363636363</v>
      </c>
      <c r="K50" s="165">
        <v>7062.64</v>
      </c>
      <c r="L50" s="165">
        <f t="shared" si="20"/>
        <v>5851.179999999999</v>
      </c>
      <c r="M50" s="218">
        <f t="shared" si="21"/>
        <v>1.8284692409637189</v>
      </c>
      <c r="N50" s="157">
        <f>E50-липень!E50</f>
        <v>900</v>
      </c>
      <c r="O50" s="160">
        <f>F50-липень!F50</f>
        <v>2129.83</v>
      </c>
      <c r="P50" s="161">
        <f t="shared" si="17"/>
        <v>1229.83</v>
      </c>
      <c r="Q50" s="165">
        <f t="shared" si="22"/>
        <v>2.366477777777778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376.24</v>
      </c>
      <c r="G51" s="150">
        <f t="shared" si="16"/>
        <v>166.24</v>
      </c>
      <c r="H51" s="164">
        <f t="shared" si="18"/>
        <v>166.24</v>
      </c>
      <c r="I51" s="165">
        <f t="shared" si="19"/>
        <v>66.24000000000001</v>
      </c>
      <c r="J51" s="165">
        <f t="shared" si="23"/>
        <v>121.36774193548388</v>
      </c>
      <c r="K51" s="165">
        <v>168.26</v>
      </c>
      <c r="L51" s="165">
        <f t="shared" si="20"/>
        <v>207.98000000000002</v>
      </c>
      <c r="M51" s="218">
        <f t="shared" si="21"/>
        <v>2.2360632354689174</v>
      </c>
      <c r="N51" s="157">
        <f>E51-липень!E51</f>
        <v>35</v>
      </c>
      <c r="O51" s="160">
        <f>F51-липень!F51</f>
        <v>70.07</v>
      </c>
      <c r="P51" s="161">
        <f t="shared" si="17"/>
        <v>35.06999999999999</v>
      </c>
      <c r="Q51" s="165">
        <f t="shared" si="22"/>
        <v>2.002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31.68</v>
      </c>
      <c r="G52" s="150">
        <f t="shared" si="16"/>
        <v>15.68</v>
      </c>
      <c r="H52" s="164">
        <f t="shared" si="18"/>
        <v>15.68</v>
      </c>
      <c r="I52" s="165">
        <f t="shared" si="19"/>
        <v>11.68</v>
      </c>
      <c r="J52" s="165">
        <f t="shared" si="23"/>
        <v>158.4</v>
      </c>
      <c r="K52" s="165">
        <v>15.44</v>
      </c>
      <c r="L52" s="165">
        <f t="shared" si="20"/>
        <v>16.240000000000002</v>
      </c>
      <c r="M52" s="218">
        <f t="shared" si="21"/>
        <v>2.051813471502591</v>
      </c>
      <c r="N52" s="157">
        <f>E52-липень!E52</f>
        <v>4</v>
      </c>
      <c r="O52" s="160">
        <f>F52-липень!F52</f>
        <v>5.759999999999998</v>
      </c>
      <c r="P52" s="161">
        <f t="shared" si="17"/>
        <v>1.759999999999998</v>
      </c>
      <c r="Q52" s="165">
        <f t="shared" si="22"/>
        <v>1.4399999999999995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4333.34</v>
      </c>
      <c r="G53" s="150">
        <f t="shared" si="16"/>
        <v>-521.6599999999999</v>
      </c>
      <c r="H53" s="164">
        <f t="shared" si="18"/>
        <v>-521.6599999999999</v>
      </c>
      <c r="I53" s="165">
        <f t="shared" si="19"/>
        <v>-2941.66</v>
      </c>
      <c r="J53" s="165">
        <f t="shared" si="23"/>
        <v>59.56481099656358</v>
      </c>
      <c r="K53" s="165">
        <v>5068.19</v>
      </c>
      <c r="L53" s="165">
        <f t="shared" si="20"/>
        <v>-734.8499999999995</v>
      </c>
      <c r="M53" s="218">
        <f t="shared" si="21"/>
        <v>0.8550074089566493</v>
      </c>
      <c r="N53" s="157">
        <f>E53-липень!E53</f>
        <v>605</v>
      </c>
      <c r="O53" s="160">
        <f>F53-липень!F53</f>
        <v>547.2000000000003</v>
      </c>
      <c r="P53" s="161">
        <f t="shared" si="17"/>
        <v>-57.79999999999973</v>
      </c>
      <c r="Q53" s="165">
        <f t="shared" si="22"/>
        <v>0.9044628099173558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550.99</v>
      </c>
      <c r="G54" s="150">
        <f t="shared" si="16"/>
        <v>-239.01</v>
      </c>
      <c r="H54" s="164">
        <f t="shared" si="18"/>
        <v>-239.01</v>
      </c>
      <c r="I54" s="165">
        <f t="shared" si="19"/>
        <v>-649.01</v>
      </c>
      <c r="J54" s="165">
        <f t="shared" si="23"/>
        <v>45.91583333333333</v>
      </c>
      <c r="K54" s="165">
        <v>4347.61</v>
      </c>
      <c r="L54" s="165">
        <f t="shared" si="20"/>
        <v>-3796.62</v>
      </c>
      <c r="M54" s="218">
        <f t="shared" si="21"/>
        <v>0.1267339986797344</v>
      </c>
      <c r="N54" s="157">
        <f>E54-липень!E54</f>
        <v>100</v>
      </c>
      <c r="O54" s="160">
        <f>F54-липень!F54</f>
        <v>71.84000000000003</v>
      </c>
      <c r="P54" s="161">
        <f t="shared" si="17"/>
        <v>-28.159999999999968</v>
      </c>
      <c r="Q54" s="165">
        <f t="shared" si="22"/>
        <v>0.7184000000000004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660</v>
      </c>
      <c r="F55" s="140">
        <v>466.98</v>
      </c>
      <c r="G55" s="103">
        <f t="shared" si="16"/>
        <v>-193.01999999999998</v>
      </c>
      <c r="H55" s="105">
        <f t="shared" si="18"/>
        <v>-193.01999999999998</v>
      </c>
      <c r="I55" s="104">
        <f t="shared" si="19"/>
        <v>-531.02</v>
      </c>
      <c r="J55" s="104">
        <f t="shared" si="23"/>
        <v>46.791583166332664</v>
      </c>
      <c r="K55" s="104">
        <v>570.13</v>
      </c>
      <c r="L55" s="165">
        <f t="shared" si="20"/>
        <v>-103.14999999999998</v>
      </c>
      <c r="M55" s="218">
        <f t="shared" si="21"/>
        <v>0.819076351007665</v>
      </c>
      <c r="N55" s="105">
        <f>E55-липень!E55</f>
        <v>80</v>
      </c>
      <c r="O55" s="144">
        <f>F55-липень!F55</f>
        <v>57.84000000000003</v>
      </c>
      <c r="P55" s="106">
        <f t="shared" si="17"/>
        <v>-22.159999999999968</v>
      </c>
      <c r="Q55" s="104">
        <f t="shared" si="22"/>
        <v>0.7230000000000004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16"/>
        <v>0.15</v>
      </c>
      <c r="H56" s="105">
        <f t="shared" si="18"/>
        <v>0.15</v>
      </c>
      <c r="I56" s="104">
        <f t="shared" si="19"/>
        <v>-0.85</v>
      </c>
      <c r="J56" s="104">
        <f t="shared" si="23"/>
        <v>15</v>
      </c>
      <c r="K56" s="104">
        <v>0.27</v>
      </c>
      <c r="L56" s="165">
        <f t="shared" si="20"/>
        <v>-0.12000000000000002</v>
      </c>
      <c r="M56" s="218">
        <f t="shared" si="21"/>
        <v>0.5555555555555555</v>
      </c>
      <c r="N56" s="105">
        <f>E56-липень!E56</f>
        <v>0</v>
      </c>
      <c r="O56" s="144">
        <f>F56-липень!F56</f>
        <v>0</v>
      </c>
      <c r="P56" s="106">
        <f t="shared" si="17"/>
        <v>0</v>
      </c>
      <c r="Q56" s="104"/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05">
        <f t="shared" si="18"/>
        <v>0</v>
      </c>
      <c r="I57" s="104">
        <f t="shared" si="19"/>
        <v>-1</v>
      </c>
      <c r="J57" s="104">
        <f t="shared" si="23"/>
        <v>0</v>
      </c>
      <c r="K57" s="104">
        <v>0.02</v>
      </c>
      <c r="L57" s="165">
        <f t="shared" si="20"/>
        <v>-0.02</v>
      </c>
      <c r="M57" s="218">
        <f t="shared" si="21"/>
        <v>0</v>
      </c>
      <c r="N57" s="105">
        <f>E57-липень!E57</f>
        <v>0</v>
      </c>
      <c r="O57" s="144">
        <f>F57-липень!F57</f>
        <v>0</v>
      </c>
      <c r="P57" s="106">
        <f t="shared" si="17"/>
        <v>0</v>
      </c>
      <c r="Q57" s="104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130</v>
      </c>
      <c r="F58" s="140">
        <v>83.86</v>
      </c>
      <c r="G58" s="103">
        <f t="shared" si="16"/>
        <v>-46.14</v>
      </c>
      <c r="H58" s="105">
        <f t="shared" si="18"/>
        <v>-46.14</v>
      </c>
      <c r="I58" s="104">
        <f t="shared" si="19"/>
        <v>-116.14</v>
      </c>
      <c r="J58" s="104">
        <f t="shared" si="23"/>
        <v>41.93</v>
      </c>
      <c r="K58" s="104">
        <v>3777.19</v>
      </c>
      <c r="L58" s="165">
        <f t="shared" si="20"/>
        <v>-3693.33</v>
      </c>
      <c r="M58" s="218">
        <f t="shared" si="21"/>
        <v>0.02220168961582552</v>
      </c>
      <c r="N58" s="105">
        <f>E58-липень!E58</f>
        <v>20</v>
      </c>
      <c r="O58" s="144">
        <f>F58-липень!F58</f>
        <v>14.010000000000005</v>
      </c>
      <c r="P58" s="106">
        <f t="shared" si="17"/>
        <v>-5.989999999999995</v>
      </c>
      <c r="Q58" s="104">
        <f t="shared" si="22"/>
        <v>0.7005000000000002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 t="shared" si="18"/>
        <v>-0.45999999999999996</v>
      </c>
      <c r="I59" s="165">
        <f t="shared" si="19"/>
        <v>-0.45999999999999996</v>
      </c>
      <c r="J59" s="165">
        <f t="shared" si="23"/>
        <v>81.60000000000001</v>
      </c>
      <c r="K59" s="165">
        <v>2.46</v>
      </c>
      <c r="L59" s="165">
        <f t="shared" si="20"/>
        <v>-0.41999999999999993</v>
      </c>
      <c r="M59" s="218">
        <f t="shared" si="21"/>
        <v>0.8292682926829269</v>
      </c>
      <c r="N59" s="157">
        <f>E59-липень!E59</f>
        <v>0</v>
      </c>
      <c r="O59" s="160">
        <f>F59-липень!F59</f>
        <v>0</v>
      </c>
      <c r="P59" s="161">
        <f t="shared" si="17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5877.33</v>
      </c>
      <c r="G60" s="150">
        <f t="shared" si="16"/>
        <v>-182.67000000000007</v>
      </c>
      <c r="H60" s="164">
        <f t="shared" si="18"/>
        <v>-182.67000000000007</v>
      </c>
      <c r="I60" s="165">
        <f t="shared" si="19"/>
        <v>-1472.67</v>
      </c>
      <c r="J60" s="165">
        <f t="shared" si="23"/>
        <v>79.96367346938776</v>
      </c>
      <c r="K60" s="165">
        <v>4601.83</v>
      </c>
      <c r="L60" s="165">
        <f t="shared" si="20"/>
        <v>1275.5</v>
      </c>
      <c r="M60" s="218">
        <f t="shared" si="21"/>
        <v>1.2771723423072996</v>
      </c>
      <c r="N60" s="157">
        <f>E60-липень!E60</f>
        <v>600</v>
      </c>
      <c r="O60" s="160">
        <f>F60-липень!F60</f>
        <v>439.1300000000001</v>
      </c>
      <c r="P60" s="161">
        <f t="shared" si="17"/>
        <v>-160.8699999999999</v>
      </c>
      <c r="Q60" s="165">
        <f t="shared" si="22"/>
        <v>0.7318833333333336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>
        <f t="shared" si="18"/>
        <v>0</v>
      </c>
      <c r="I61" s="165">
        <f t="shared" si="19"/>
        <v>0</v>
      </c>
      <c r="J61" s="165" t="e">
        <f t="shared" si="23"/>
        <v>#DIV/0!</v>
      </c>
      <c r="K61" s="165">
        <v>0</v>
      </c>
      <c r="L61" s="165">
        <f t="shared" si="20"/>
        <v>0</v>
      </c>
      <c r="M61" s="218" t="e">
        <f t="shared" si="21"/>
        <v>#DIV/0!</v>
      </c>
      <c r="N61" s="157">
        <f>E61-липень!E61</f>
        <v>0</v>
      </c>
      <c r="O61" s="160">
        <f>F61-липень!F61</f>
        <v>0</v>
      </c>
      <c r="P61" s="161">
        <f t="shared" si="17"/>
        <v>0</v>
      </c>
      <c r="Q61" s="165" t="e">
        <f t="shared" si="22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1406.35</v>
      </c>
      <c r="G62" s="253">
        <f t="shared" si="16"/>
        <v>1406.35</v>
      </c>
      <c r="H62" s="195">
        <f t="shared" si="18"/>
        <v>1406.35</v>
      </c>
      <c r="I62" s="254">
        <f t="shared" si="19"/>
        <v>1406.35</v>
      </c>
      <c r="J62" s="165"/>
      <c r="K62" s="166">
        <v>889.8</v>
      </c>
      <c r="L62" s="254">
        <f t="shared" si="20"/>
        <v>516.55</v>
      </c>
      <c r="M62" s="305">
        <f t="shared" si="21"/>
        <v>1.5805237131939762</v>
      </c>
      <c r="N62" s="195">
        <f>E62-липень!E62</f>
        <v>0</v>
      </c>
      <c r="O62" s="179">
        <f>F62-липень!F62</f>
        <v>171.76999999999998</v>
      </c>
      <c r="P62" s="166">
        <f t="shared" si="17"/>
        <v>171.76999999999998</v>
      </c>
      <c r="Q62" s="254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>
        <f t="shared" si="18"/>
        <v>0</v>
      </c>
      <c r="I63" s="165">
        <f t="shared" si="19"/>
        <v>0</v>
      </c>
      <c r="J63" s="165" t="e">
        <f t="shared" si="23"/>
        <v>#DIV/0!</v>
      </c>
      <c r="K63" s="166">
        <v>0</v>
      </c>
      <c r="L63" s="165">
        <f t="shared" si="20"/>
        <v>0</v>
      </c>
      <c r="M63" s="218" t="e">
        <f t="shared" si="21"/>
        <v>#DIV/0!</v>
      </c>
      <c r="N63" s="157">
        <f>E63-липень!E63</f>
        <v>0</v>
      </c>
      <c r="O63" s="160">
        <f>F63-липень!F63</f>
        <v>0</v>
      </c>
      <c r="P63" s="161">
        <f t="shared" si="17"/>
        <v>0</v>
      </c>
      <c r="Q63" s="165" t="e">
        <f t="shared" si="22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50">
        <f t="shared" si="16"/>
        <v>-19.86</v>
      </c>
      <c r="H64" s="164">
        <f t="shared" si="18"/>
        <v>-19.86</v>
      </c>
      <c r="I64" s="165">
        <f t="shared" si="19"/>
        <v>-99.86</v>
      </c>
      <c r="J64" s="165">
        <f t="shared" si="23"/>
        <v>37.5875</v>
      </c>
      <c r="K64" s="165">
        <v>152.27</v>
      </c>
      <c r="L64" s="165">
        <f t="shared" si="20"/>
        <v>-92.13000000000001</v>
      </c>
      <c r="M64" s="218">
        <f t="shared" si="21"/>
        <v>0.3949563275760163</v>
      </c>
      <c r="N64" s="157">
        <f>E64-липень!E64</f>
        <v>30</v>
      </c>
      <c r="O64" s="160">
        <f>F64-липень!F64</f>
        <v>0</v>
      </c>
      <c r="P64" s="161">
        <f t="shared" si="17"/>
        <v>-30</v>
      </c>
      <c r="Q64" s="165">
        <f t="shared" si="22"/>
        <v>0</v>
      </c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30.95</v>
      </c>
      <c r="G65" s="150">
        <f t="shared" si="16"/>
        <v>20.849999999999998</v>
      </c>
      <c r="H65" s="164">
        <f t="shared" si="18"/>
        <v>20.849999999999998</v>
      </c>
      <c r="I65" s="165">
        <f t="shared" si="19"/>
        <v>15.95</v>
      </c>
      <c r="J65" s="165">
        <f t="shared" si="23"/>
        <v>206.33333333333334</v>
      </c>
      <c r="K65" s="165">
        <v>13.42</v>
      </c>
      <c r="L65" s="165">
        <f t="shared" si="20"/>
        <v>17.53</v>
      </c>
      <c r="M65" s="218">
        <f t="shared" si="21"/>
        <v>2.3062593144560357</v>
      </c>
      <c r="N65" s="157">
        <f>E65-липень!E65</f>
        <v>1.3000000000000007</v>
      </c>
      <c r="O65" s="160">
        <f>F65-липень!F65</f>
        <v>2.41</v>
      </c>
      <c r="P65" s="161">
        <f t="shared" si="17"/>
        <v>1.1099999999999994</v>
      </c>
      <c r="Q65" s="165">
        <f t="shared" si="22"/>
        <v>1.853846153846153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6"/>
        <v>-5.17</v>
      </c>
      <c r="H66" s="164">
        <f t="shared" si="18"/>
        <v>-5.17</v>
      </c>
      <c r="I66" s="165">
        <f t="shared" si="19"/>
        <v>-5.17</v>
      </c>
      <c r="J66" s="165"/>
      <c r="K66" s="165">
        <v>1.03</v>
      </c>
      <c r="L66" s="165">
        <f t="shared" si="20"/>
        <v>-6.2</v>
      </c>
      <c r="M66" s="218">
        <f t="shared" si="21"/>
        <v>-5.019417475728155</v>
      </c>
      <c r="N66" s="157">
        <f>E66-липень!E66</f>
        <v>0</v>
      </c>
      <c r="O66" s="160">
        <f>F66-липень!F66</f>
        <v>0.08000000000000007</v>
      </c>
      <c r="P66" s="161">
        <f t="shared" si="17"/>
        <v>0.08000000000000007</v>
      </c>
      <c r="Q66" s="165"/>
      <c r="R66" s="37">
        <v>0</v>
      </c>
      <c r="S66" s="37">
        <f>#N/A</f>
        <v>0</v>
      </c>
    </row>
    <row r="67" spans="1:19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885514.16</v>
      </c>
      <c r="G67" s="151">
        <f>F67-E67</f>
        <v>-884.6399999998976</v>
      </c>
      <c r="H67" s="152">
        <f>F67/E67*100</f>
        <v>99.90019842084625</v>
      </c>
      <c r="I67" s="153">
        <f>F67-D67</f>
        <v>-471976.94000000006</v>
      </c>
      <c r="J67" s="153">
        <f>F67/D67*100</f>
        <v>65.2316733420941</v>
      </c>
      <c r="K67" s="151">
        <v>676523.63</v>
      </c>
      <c r="L67" s="153">
        <f>F67-K67</f>
        <v>208990.53000000003</v>
      </c>
      <c r="M67" s="219">
        <f>F67/K67</f>
        <v>1.308918300459069</v>
      </c>
      <c r="N67" s="151">
        <f>N8+N41+N65+N66</f>
        <v>123856.1</v>
      </c>
      <c r="O67" s="151">
        <f>O8+O41+O65+O66</f>
        <v>119454.43000000008</v>
      </c>
      <c r="P67" s="194">
        <f>O67-N67</f>
        <v>-4401.6699999999255</v>
      </c>
      <c r="Q67" s="153">
        <f>O67/N67*100</f>
        <v>96.4461419340671</v>
      </c>
      <c r="R67" s="27">
        <f>R8+R41+R65+R66</f>
        <v>108115.7</v>
      </c>
      <c r="S67" s="280">
        <f>O67-R67</f>
        <v>11338.730000000083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 aca="true" t="shared" si="24" ref="I73:I80">F73-D73</f>
        <v>-2.64</v>
      </c>
      <c r="J73" s="167"/>
      <c r="K73" s="167">
        <v>-3.83</v>
      </c>
      <c r="L73" s="167">
        <f>F73-K73</f>
        <v>1.19</v>
      </c>
      <c r="M73" s="209">
        <f>F73/K73</f>
        <v>0.6892950391644909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 t="shared" si="24"/>
        <v>-2.6300000000000003</v>
      </c>
      <c r="J74" s="187"/>
      <c r="K74" s="187">
        <v>-3.8200000000000003</v>
      </c>
      <c r="L74" s="187">
        <f aca="true" t="shared" si="25" ref="L74:L86">F74-K74</f>
        <v>1.19</v>
      </c>
      <c r="M74" s="214">
        <f aca="true" t="shared" si="26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62">
        <f aca="true" t="shared" si="27" ref="G75:G86">F75-E75</f>
        <v>35.57</v>
      </c>
      <c r="H75" s="186"/>
      <c r="I75" s="187">
        <f t="shared" si="24"/>
        <v>35.57</v>
      </c>
      <c r="J75" s="187"/>
      <c r="K75" s="187">
        <v>0</v>
      </c>
      <c r="L75" s="187">
        <f t="shared" si="25"/>
        <v>35.57</v>
      </c>
      <c r="M75" s="209"/>
      <c r="N75" s="186">
        <f>E75-червень!E75</f>
        <v>0</v>
      </c>
      <c r="O75" s="289">
        <f>F75-червень!F75</f>
        <v>0</v>
      </c>
      <c r="P75" s="187">
        <f aca="true" t="shared" si="28" ref="P75:P86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3.81</v>
      </c>
      <c r="G76" s="162">
        <f t="shared" si="27"/>
        <v>-17996.19</v>
      </c>
      <c r="H76" s="164">
        <f>F76/E76*100</f>
        <v>0.021166666666666667</v>
      </c>
      <c r="I76" s="167">
        <f t="shared" si="24"/>
        <v>-104202.22</v>
      </c>
      <c r="J76" s="167">
        <f>F76/D76*100</f>
        <v>0.0036562183589567707</v>
      </c>
      <c r="K76" s="167">
        <v>1535.17</v>
      </c>
      <c r="L76" s="167">
        <f t="shared" si="25"/>
        <v>-1531.3600000000001</v>
      </c>
      <c r="M76" s="209">
        <f t="shared" si="26"/>
        <v>0.0024818098321358548</v>
      </c>
      <c r="N76" s="157">
        <f>E76-липень!E76</f>
        <v>4500</v>
      </c>
      <c r="O76" s="160">
        <f>F76-липень!F76</f>
        <v>0.040000000000000036</v>
      </c>
      <c r="P76" s="167">
        <f t="shared" si="28"/>
        <v>-4499.96</v>
      </c>
      <c r="Q76" s="167">
        <f>O76/N76*100</f>
        <v>0.0008888888888888897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5970.15</v>
      </c>
      <c r="G77" s="162">
        <f t="shared" si="27"/>
        <v>-16859.85</v>
      </c>
      <c r="H77" s="164">
        <f>F77/E77*100</f>
        <v>26.150459921156372</v>
      </c>
      <c r="I77" s="167">
        <f t="shared" si="24"/>
        <v>-48029.85</v>
      </c>
      <c r="J77" s="167">
        <f>F77/D77*100</f>
        <v>11.055833333333332</v>
      </c>
      <c r="K77" s="167">
        <v>6783.53</v>
      </c>
      <c r="L77" s="167">
        <f t="shared" si="25"/>
        <v>-813.3800000000001</v>
      </c>
      <c r="M77" s="209">
        <f t="shared" si="26"/>
        <v>0.8800948768561501</v>
      </c>
      <c r="N77" s="157">
        <f>E77-липень!E77</f>
        <v>3600</v>
      </c>
      <c r="O77" s="160">
        <f>F77-липень!F77</f>
        <v>63.9399999999996</v>
      </c>
      <c r="P77" s="167">
        <f t="shared" si="28"/>
        <v>-3536.0600000000004</v>
      </c>
      <c r="Q77" s="167">
        <f>O77/N77*100</f>
        <v>1.7761111111110999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8033.92</v>
      </c>
      <c r="G78" s="162">
        <f t="shared" si="27"/>
        <v>-15866.08</v>
      </c>
      <c r="H78" s="164">
        <f>F78/E78*100</f>
        <v>33.6147280334728</v>
      </c>
      <c r="I78" s="167">
        <f t="shared" si="24"/>
        <v>-70966.08</v>
      </c>
      <c r="J78" s="167">
        <f>F78/D78*100</f>
        <v>10.169518987341771</v>
      </c>
      <c r="K78" s="167">
        <v>10477.14</v>
      </c>
      <c r="L78" s="167">
        <f t="shared" si="25"/>
        <v>-2443.2199999999993</v>
      </c>
      <c r="M78" s="209">
        <f t="shared" si="26"/>
        <v>0.7668046814302377</v>
      </c>
      <c r="N78" s="157">
        <f>E78-липень!E78</f>
        <v>3850</v>
      </c>
      <c r="O78" s="160">
        <f>F78-липень!F78</f>
        <v>1062.62</v>
      </c>
      <c r="P78" s="167">
        <f t="shared" si="28"/>
        <v>-2787.38</v>
      </c>
      <c r="Q78" s="167">
        <f>O78/N78*100</f>
        <v>27.600519480519477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 t="shared" si="27"/>
        <v>1</v>
      </c>
      <c r="H79" s="164">
        <f>F79/E79*100</f>
        <v>112.5</v>
      </c>
      <c r="I79" s="167">
        <f t="shared" si="24"/>
        <v>-3</v>
      </c>
      <c r="J79" s="167">
        <f>F79/D79*100</f>
        <v>75</v>
      </c>
      <c r="K79" s="167">
        <v>6</v>
      </c>
      <c r="L79" s="167">
        <f t="shared" si="25"/>
        <v>3</v>
      </c>
      <c r="M79" s="209">
        <f t="shared" si="26"/>
        <v>1.5</v>
      </c>
      <c r="N79" s="157">
        <f>E79-липень!E79</f>
        <v>1</v>
      </c>
      <c r="O79" s="160">
        <f>F79-липень!F79</f>
        <v>1</v>
      </c>
      <c r="P79" s="167">
        <f t="shared" si="28"/>
        <v>0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14016.880000000001</v>
      </c>
      <c r="G80" s="185">
        <f t="shared" si="27"/>
        <v>-50721.119999999995</v>
      </c>
      <c r="H80" s="186">
        <f>F80/E80*100</f>
        <v>21.65170379066391</v>
      </c>
      <c r="I80" s="187">
        <f t="shared" si="24"/>
        <v>-223201.15</v>
      </c>
      <c r="J80" s="187">
        <f>F80/D80*100</f>
        <v>5.9088594572680675</v>
      </c>
      <c r="K80" s="187">
        <v>18801.84</v>
      </c>
      <c r="L80" s="167">
        <f t="shared" si="25"/>
        <v>-4784.959999999999</v>
      </c>
      <c r="M80" s="209">
        <f t="shared" si="26"/>
        <v>0.7455057590108203</v>
      </c>
      <c r="N80" s="185">
        <f>N76+N77+N78+N79</f>
        <v>11951</v>
      </c>
      <c r="O80" s="189">
        <f>O76+O77+O78+O79</f>
        <v>1127.5999999999995</v>
      </c>
      <c r="P80" s="187">
        <f t="shared" si="28"/>
        <v>-10823.400000000001</v>
      </c>
      <c r="Q80" s="187">
        <f>O80/N80*100</f>
        <v>9.435193707639524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7"/>
        <v>34.14</v>
      </c>
      <c r="H81" s="164"/>
      <c r="I81" s="167">
        <f>#N/A</f>
        <v>-1.8599999999999994</v>
      </c>
      <c r="J81" s="167"/>
      <c r="K81" s="167">
        <v>5.67</v>
      </c>
      <c r="L81" s="167">
        <f t="shared" si="25"/>
        <v>32.47</v>
      </c>
      <c r="M81" s="209">
        <f t="shared" si="26"/>
        <v>6.72663139329806</v>
      </c>
      <c r="N81" s="157">
        <f>E81-липень!E81</f>
        <v>0</v>
      </c>
      <c r="O81" s="160">
        <f>F81-липень!F81</f>
        <v>0</v>
      </c>
      <c r="P81" s="167">
        <f t="shared" si="28"/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7"/>
        <v>0</v>
      </c>
      <c r="H82" s="164"/>
      <c r="I82" s="167">
        <f>#N/A</f>
        <v>0</v>
      </c>
      <c r="J82" s="190"/>
      <c r="K82" s="167">
        <v>0</v>
      </c>
      <c r="L82" s="167">
        <f t="shared" si="25"/>
        <v>0</v>
      </c>
      <c r="M82" s="209" t="e">
        <f t="shared" si="26"/>
        <v>#DIV/0!</v>
      </c>
      <c r="N82" s="157">
        <f>E82-липень!E82</f>
        <v>0</v>
      </c>
      <c r="O82" s="160">
        <f>F82-липень!F82</f>
        <v>0</v>
      </c>
      <c r="P82" s="167">
        <f t="shared" si="28"/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6573.76</v>
      </c>
      <c r="G83" s="162">
        <f t="shared" si="27"/>
        <v>180.5599999999995</v>
      </c>
      <c r="H83" s="164">
        <f>F83/E83*100</f>
        <v>102.82425076643933</v>
      </c>
      <c r="I83" s="167">
        <f>#N/A</f>
        <v>-3240.5</v>
      </c>
      <c r="J83" s="167">
        <f>F83/D83*100</f>
        <v>78.63349282296652</v>
      </c>
      <c r="K83" s="167">
        <v>6824.83</v>
      </c>
      <c r="L83" s="167">
        <f t="shared" si="25"/>
        <v>-251.0699999999997</v>
      </c>
      <c r="M83" s="209">
        <f t="shared" si="26"/>
        <v>0.9632122704887888</v>
      </c>
      <c r="N83" s="157">
        <f>E83-липень!E83</f>
        <v>1882.4000000000005</v>
      </c>
      <c r="O83" s="160">
        <f>F83-липень!F83</f>
        <v>1460.0600000000004</v>
      </c>
      <c r="P83" s="167">
        <f t="shared" si="28"/>
        <v>-422.34000000000015</v>
      </c>
      <c r="Q83" s="167">
        <f>O83/N83*100</f>
        <v>77.56374840628985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7"/>
        <v>0.08</v>
      </c>
      <c r="H84" s="164"/>
      <c r="I84" s="167">
        <f>#N/A</f>
        <v>0.05</v>
      </c>
      <c r="J84" s="167"/>
      <c r="K84" s="167">
        <v>1.09</v>
      </c>
      <c r="L84" s="167">
        <f t="shared" si="25"/>
        <v>-1.01</v>
      </c>
      <c r="M84" s="209">
        <f t="shared" si="26"/>
        <v>0.07339449541284403</v>
      </c>
      <c r="N84" s="157">
        <f>E84-липень!E84</f>
        <v>0</v>
      </c>
      <c r="O84" s="160">
        <f>F84-липень!F84</f>
        <v>0.03</v>
      </c>
      <c r="P84" s="167">
        <f t="shared" si="28"/>
        <v>0.03</v>
      </c>
      <c r="Q84" s="190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6611.9800000000005</v>
      </c>
      <c r="G85" s="185">
        <f t="shared" si="27"/>
        <v>214.77999999999975</v>
      </c>
      <c r="H85" s="186">
        <f>F85/E85*100</f>
        <v>103.35740636528482</v>
      </c>
      <c r="I85" s="187">
        <f>#N/A</f>
        <v>-3242.3100000000004</v>
      </c>
      <c r="J85" s="187">
        <f>F85/D85*100</f>
        <v>78.71404761904762</v>
      </c>
      <c r="K85" s="187">
        <v>6831.59</v>
      </c>
      <c r="L85" s="167">
        <f t="shared" si="25"/>
        <v>-219.60999999999967</v>
      </c>
      <c r="M85" s="209">
        <f t="shared" si="26"/>
        <v>0.9678537500054892</v>
      </c>
      <c r="N85" s="185">
        <f>N81+N84+N82+N83</f>
        <v>1882.4000000000005</v>
      </c>
      <c r="O85" s="189">
        <f>O81+O84+O82+O83</f>
        <v>1460.0900000000004</v>
      </c>
      <c r="P85" s="187">
        <f t="shared" si="28"/>
        <v>-422.3100000000002</v>
      </c>
      <c r="Q85" s="187">
        <f>O85/N85*100</f>
        <v>77.56534211644708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17.65</v>
      </c>
      <c r="G86" s="162">
        <f t="shared" si="27"/>
        <v>-8.750000000000004</v>
      </c>
      <c r="H86" s="164">
        <f>F86/E86*100</f>
        <v>66.8560606060606</v>
      </c>
      <c r="I86" s="167">
        <f>#N/A</f>
        <v>-25.57</v>
      </c>
      <c r="J86" s="167">
        <f>F86/D86*100</f>
        <v>46.44736842105262</v>
      </c>
      <c r="K86" s="187">
        <v>19.38</v>
      </c>
      <c r="L86" s="167">
        <f t="shared" si="25"/>
        <v>-1.7300000000000004</v>
      </c>
      <c r="M86" s="209">
        <f t="shared" si="26"/>
        <v>0.9107327141382868</v>
      </c>
      <c r="N86" s="157">
        <f>E86-липень!E86</f>
        <v>1.6000000000000014</v>
      </c>
      <c r="O86" s="160">
        <f>F86-липень!F86</f>
        <v>5.219999999999999</v>
      </c>
      <c r="P86" s="167">
        <f t="shared" si="28"/>
        <v>3.6199999999999974</v>
      </c>
      <c r="Q86" s="167">
        <f>O86/N86*100</f>
        <v>326.2499999999996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 t="shared" si="26"/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20679.450000000004</v>
      </c>
      <c r="G88" s="192">
        <f>F88-E88</f>
        <v>-50482.14999999999</v>
      </c>
      <c r="H88" s="193">
        <f>F88/E88*100</f>
        <v>29.05984407320803</v>
      </c>
      <c r="I88" s="194">
        <f>F88-D88</f>
        <v>-224976.58</v>
      </c>
      <c r="J88" s="194">
        <f>F88/D88*100</f>
        <v>8.418051044788115</v>
      </c>
      <c r="K88" s="191">
        <v>25648.99</v>
      </c>
      <c r="L88" s="301">
        <f>F88-K88</f>
        <v>-4969.539999999997</v>
      </c>
      <c r="M88" s="302">
        <f t="shared" si="26"/>
        <v>0.8062481212710522</v>
      </c>
      <c r="N88" s="191">
        <f>N74+N75+N80+N85+N86</f>
        <v>13835.000000000002</v>
      </c>
      <c r="O88" s="191">
        <f>O74+O75+O80+O85+O86</f>
        <v>2592.9099999999994</v>
      </c>
      <c r="P88" s="194">
        <f>#N/A</f>
        <v>-13824.7</v>
      </c>
      <c r="Q88" s="194">
        <f>O88/N88*100</f>
        <v>18.741669678352</v>
      </c>
      <c r="R88" s="27">
        <f>R80+R85+R86+R87</f>
        <v>4553.2</v>
      </c>
      <c r="S88" s="27">
        <f>S80+S85+S86+S87</f>
        <v>-4542.9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906193.61</v>
      </c>
      <c r="G89" s="192">
        <f>F89-E89</f>
        <v>-51366.78999999992</v>
      </c>
      <c r="H89" s="193">
        <f>F89/E89*100</f>
        <v>94.63566058078426</v>
      </c>
      <c r="I89" s="194">
        <f>F89-D89</f>
        <v>-696953.5200000001</v>
      </c>
      <c r="J89" s="194">
        <f>F89/D89*100</f>
        <v>56.52591662001727</v>
      </c>
      <c r="K89" s="194">
        <f>K67+K88</f>
        <v>702172.62</v>
      </c>
      <c r="L89" s="194">
        <f>L67+L88</f>
        <v>204020.99000000002</v>
      </c>
      <c r="M89" s="302">
        <f t="shared" si="26"/>
        <v>1.2905567437249261</v>
      </c>
      <c r="N89" s="192">
        <f>N67+N88</f>
        <v>137691.1</v>
      </c>
      <c r="O89" s="192">
        <f>O67+O88</f>
        <v>122047.34000000008</v>
      </c>
      <c r="P89" s="194">
        <f>#N/A</f>
        <v>-128900.27999999997</v>
      </c>
      <c r="Q89" s="194">
        <f>O89/N89*100</f>
        <v>88.63851040481198</v>
      </c>
      <c r="R89" s="27">
        <f>R67+R88</f>
        <v>112668.9</v>
      </c>
      <c r="S89" s="27">
        <f>S67+S88</f>
        <v>6795.830000000084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41"/>
      <c r="H92" s="341"/>
      <c r="I92" s="341"/>
      <c r="J92" s="341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42978</v>
      </c>
      <c r="D93" s="29">
        <v>7963.3</v>
      </c>
      <c r="G93" s="4" t="s">
        <v>58</v>
      </c>
      <c r="O93" s="342"/>
      <c r="P93" s="342"/>
    </row>
    <row r="94" spans="3:16" ht="15">
      <c r="C94" s="81">
        <v>42977</v>
      </c>
      <c r="D94" s="29">
        <v>9672.2</v>
      </c>
      <c r="G94" s="334"/>
      <c r="H94" s="334"/>
      <c r="I94" s="118"/>
      <c r="J94" s="295"/>
      <c r="K94" s="295"/>
      <c r="L94" s="295"/>
      <c r="M94" s="295"/>
      <c r="N94" s="295"/>
      <c r="O94" s="342"/>
      <c r="P94" s="342"/>
    </row>
    <row r="95" spans="3:16" ht="15.75" customHeight="1">
      <c r="C95" s="81">
        <v>42976</v>
      </c>
      <c r="D95" s="29">
        <v>5224.7</v>
      </c>
      <c r="F95" s="68"/>
      <c r="G95" s="334"/>
      <c r="H95" s="334"/>
      <c r="I95" s="118"/>
      <c r="J95" s="296"/>
      <c r="K95" s="296"/>
      <c r="L95" s="296"/>
      <c r="M95" s="296"/>
      <c r="N95" s="296"/>
      <c r="O95" s="342"/>
      <c r="P95" s="342"/>
    </row>
    <row r="96" spans="3:14" ht="15.75" customHeight="1">
      <c r="C96" s="81"/>
      <c r="F96" s="68"/>
      <c r="G96" s="346"/>
      <c r="H96" s="346"/>
      <c r="I96" s="124"/>
      <c r="J96" s="295"/>
      <c r="K96" s="295"/>
      <c r="L96" s="295"/>
      <c r="M96" s="295"/>
      <c r="N96" s="295"/>
    </row>
    <row r="97" spans="2:14" ht="18" customHeight="1">
      <c r="B97" s="347" t="s">
        <v>56</v>
      </c>
      <c r="C97" s="348"/>
      <c r="D97" s="133" t="e">
        <f>'[1]ЧТКЕ'!$G$6/1000</f>
        <v>#VALUE!</v>
      </c>
      <c r="E97" s="69"/>
      <c r="F97" s="125" t="s">
        <v>107</v>
      </c>
      <c r="G97" s="334"/>
      <c r="H97" s="334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334"/>
      <c r="H98" s="334"/>
      <c r="I98" s="68"/>
      <c r="J98" s="69"/>
      <c r="K98" s="69"/>
      <c r="L98" s="69"/>
      <c r="M98" s="69"/>
    </row>
    <row r="99" spans="2:13" ht="22.5" customHeight="1" hidden="1">
      <c r="B99" s="343" t="s">
        <v>59</v>
      </c>
      <c r="C99" s="344"/>
      <c r="D99" s="80">
        <v>0</v>
      </c>
      <c r="E99" s="51" t="s">
        <v>24</v>
      </c>
      <c r="F99" s="68"/>
      <c r="G99" s="334"/>
      <c r="H99" s="334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1220.7900000000002</v>
      </c>
      <c r="G100" s="68">
        <f>G48+G51+G52</f>
        <v>414.79</v>
      </c>
      <c r="H100" s="69"/>
      <c r="I100" s="69"/>
      <c r="N100" s="29">
        <f>N48+N51+N52</f>
        <v>99</v>
      </c>
      <c r="O100" s="202">
        <f>O48+O51+O52</f>
        <v>174.09999999999997</v>
      </c>
      <c r="P100" s="29">
        <f>P48+P51+P52</f>
        <v>75.09999999999997</v>
      </c>
    </row>
    <row r="101" spans="4:16" ht="15" hidden="1">
      <c r="D101" s="78"/>
      <c r="I101" s="29"/>
      <c r="O101" s="345"/>
      <c r="P101" s="34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841676.8300000001</v>
      </c>
      <c r="G102" s="29">
        <f>F102-E102</f>
        <v>-4626.969999999856</v>
      </c>
      <c r="H102" s="230">
        <f>F102/E102</f>
        <v>0.9945327316266336</v>
      </c>
      <c r="I102" s="29">
        <f>F102-D102</f>
        <v>-457371.77</v>
      </c>
      <c r="J102" s="230">
        <f>F102/D102</f>
        <v>0.6479178916015921</v>
      </c>
      <c r="N102" s="29">
        <f>N9+N15+N17+N18+N19+N23+N42+N45+N65+N59</f>
        <v>118692.3</v>
      </c>
      <c r="O102" s="229">
        <f>O9+O15+O17+O18+O19+O23+O42+O45+O65+O59</f>
        <v>113857.58000000009</v>
      </c>
      <c r="P102" s="29">
        <f>O102-N102</f>
        <v>-4834.719999999914</v>
      </c>
      <c r="Q102" s="230">
        <f>O102/N102</f>
        <v>0.959266776362073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43813.45999999999</v>
      </c>
      <c r="G103" s="29">
        <f>G43+G44+G46+G48+G50+G51+G52+G53+G54+G60+G64+G47</f>
        <v>3723.6299999999987</v>
      </c>
      <c r="H103" s="230">
        <f>F103/E103</f>
        <v>1.092741239556054</v>
      </c>
      <c r="I103" s="29">
        <f>I43+I44+I46+I48+I50+I51+I52+I53+I54+I60+I64+I47</f>
        <v>-14623.870000000003</v>
      </c>
      <c r="J103" s="230">
        <f>F103/D103</f>
        <v>0.749684903965436</v>
      </c>
      <c r="K103" s="29">
        <f>K43+K44+K46+K48+K50+K51+K52+K53+K54+K60+K64+K47</f>
        <v>42568.869999999995</v>
      </c>
      <c r="L103" s="29">
        <f>L43+L44+L46+L48+L50+L51+L52+L53+L54+L60+L64+L47</f>
        <v>1249.759999999998</v>
      </c>
      <c r="M103" s="29">
        <f>M43+M44+M46+M48+M50+M51+M52+M53+M54+M60+M64+M47</f>
        <v>21.33040941383548</v>
      </c>
      <c r="N103" s="29">
        <f>N43+N44+N46+N48+N50+N51+N52+N53+N54+N60+N64+N47+N66</f>
        <v>5163.8</v>
      </c>
      <c r="O103" s="229">
        <f>O43+O44+O46+O48+O50+O51+O52+O53+O54+O60+O64+O47+O66</f>
        <v>5596.850000000001</v>
      </c>
      <c r="P103" s="29">
        <f>P43+P44+P46+P48+P50+P51+P52+P53+P54+P60+P64+P47</f>
        <v>432.9700000000004</v>
      </c>
      <c r="Q103" s="230">
        <f>O103/N103</f>
        <v>1.0838626592819243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633954.76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40933.770000000004</v>
      </c>
      <c r="G111" s="192">
        <f>F111-E111</f>
        <v>-48329.889999999985</v>
      </c>
      <c r="H111" s="193">
        <f>F111/E111*100</f>
        <v>45.857149482779455</v>
      </c>
      <c r="I111" s="194">
        <f>F111-D111</f>
        <v>-277130.48</v>
      </c>
      <c r="J111" s="194">
        <f>F111/D111*100</f>
        <v>12.869654480187572</v>
      </c>
      <c r="K111" s="194">
        <v>3039.87</v>
      </c>
      <c r="L111" s="194">
        <f>F111-K111</f>
        <v>37893.9</v>
      </c>
      <c r="M111" s="269">
        <f>F111/K111</f>
        <v>13.46563175398948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926447.93</v>
      </c>
      <c r="G112" s="192">
        <f>F112-E112</f>
        <v>-49214.52999999991</v>
      </c>
      <c r="H112" s="193">
        <f>F112/E112*100</f>
        <v>94.95578317115942</v>
      </c>
      <c r="I112" s="194">
        <f>F112-D112</f>
        <v>-749107.42</v>
      </c>
      <c r="J112" s="194">
        <f>F112/D112*100</f>
        <v>55.291991995370374</v>
      </c>
      <c r="K112" s="194">
        <f>K89+K111</f>
        <v>705212.49</v>
      </c>
      <c r="L112" s="194">
        <f>F112-K112</f>
        <v>221235.44000000006</v>
      </c>
      <c r="M112" s="269">
        <f>F112/K112</f>
        <v>1.313714579842453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1472277.01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B99:C99"/>
    <mergeCell ref="G99:H99"/>
    <mergeCell ref="O101:P101"/>
    <mergeCell ref="G96:H96"/>
    <mergeCell ref="B97:C97"/>
    <mergeCell ref="G97:H97"/>
    <mergeCell ref="G98:H98"/>
    <mergeCell ref="G94:H94"/>
    <mergeCell ref="O94:P94"/>
    <mergeCell ref="G95:H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24"/>
  <sheetViews>
    <sheetView zoomScale="74" zoomScaleNormal="74" zoomScalePageLayoutView="0" workbookViewId="0" topLeftCell="B1">
      <pane xSplit="2" ySplit="8" topLeftCell="D4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4" sqref="G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12" t="s">
        <v>232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6"/>
      <c r="S1" s="86"/>
    </row>
    <row r="2" spans="2:19" s="1" customFormat="1" ht="15.75" customHeight="1">
      <c r="B2" s="313"/>
      <c r="C2" s="313"/>
      <c r="D2" s="31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14"/>
      <c r="B3" s="316"/>
      <c r="C3" s="317" t="s">
        <v>0</v>
      </c>
      <c r="D3" s="318" t="s">
        <v>150</v>
      </c>
      <c r="E3" s="32"/>
      <c r="F3" s="319" t="s">
        <v>26</v>
      </c>
      <c r="G3" s="320"/>
      <c r="H3" s="320"/>
      <c r="I3" s="320"/>
      <c r="J3" s="321"/>
      <c r="K3" s="83"/>
      <c r="L3" s="83"/>
      <c r="M3" s="83"/>
      <c r="N3" s="322" t="s">
        <v>218</v>
      </c>
      <c r="O3" s="325" t="s">
        <v>220</v>
      </c>
      <c r="P3" s="325"/>
      <c r="Q3" s="325"/>
      <c r="R3" s="325"/>
      <c r="S3" s="325"/>
    </row>
    <row r="4" spans="1:19" ht="22.5" customHeight="1">
      <c r="A4" s="314"/>
      <c r="B4" s="316"/>
      <c r="C4" s="317"/>
      <c r="D4" s="318"/>
      <c r="E4" s="326" t="s">
        <v>219</v>
      </c>
      <c r="F4" s="328" t="s">
        <v>33</v>
      </c>
      <c r="G4" s="330" t="s">
        <v>221</v>
      </c>
      <c r="H4" s="323" t="s">
        <v>222</v>
      </c>
      <c r="I4" s="330" t="s">
        <v>138</v>
      </c>
      <c r="J4" s="323" t="s">
        <v>139</v>
      </c>
      <c r="K4" s="85" t="s">
        <v>141</v>
      </c>
      <c r="L4" s="204" t="s">
        <v>113</v>
      </c>
      <c r="M4" s="90" t="s">
        <v>63</v>
      </c>
      <c r="N4" s="323"/>
      <c r="O4" s="332" t="s">
        <v>226</v>
      </c>
      <c r="P4" s="330" t="s">
        <v>49</v>
      </c>
      <c r="Q4" s="335" t="s">
        <v>48</v>
      </c>
      <c r="R4" s="91" t="s">
        <v>64</v>
      </c>
      <c r="S4" s="91"/>
    </row>
    <row r="5" spans="1:19" ht="67.5" customHeight="1">
      <c r="A5" s="315"/>
      <c r="B5" s="316"/>
      <c r="C5" s="317"/>
      <c r="D5" s="318"/>
      <c r="E5" s="327"/>
      <c r="F5" s="329"/>
      <c r="G5" s="331"/>
      <c r="H5" s="324"/>
      <c r="I5" s="331"/>
      <c r="J5" s="324"/>
      <c r="K5" s="336" t="s">
        <v>225</v>
      </c>
      <c r="L5" s="337"/>
      <c r="M5" s="338"/>
      <c r="N5" s="324"/>
      <c r="O5" s="333"/>
      <c r="P5" s="331"/>
      <c r="Q5" s="335"/>
      <c r="R5" s="339" t="s">
        <v>215</v>
      </c>
      <c r="S5" s="34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725573.05</v>
      </c>
      <c r="G8" s="151">
        <f aca="true" t="shared" si="0" ref="G8:G22">F8-E8</f>
        <v>-1767.1499999999069</v>
      </c>
      <c r="H8" s="152">
        <f aca="true" t="shared" si="1" ref="H8:H15">F8/E8*100</f>
        <v>99.75703941566823</v>
      </c>
      <c r="I8" s="153">
        <f aca="true" t="shared" si="2" ref="I8:I22">F8-D8</f>
        <v>-572878.05</v>
      </c>
      <c r="J8" s="153">
        <f aca="true" t="shared" si="3" ref="J8:J16">F8/D8*100</f>
        <v>55.87989027850182</v>
      </c>
      <c r="K8" s="151">
        <v>543806.97</v>
      </c>
      <c r="L8" s="151">
        <f aca="true" t="shared" si="4" ref="L8:L14">F8-K8</f>
        <v>181766.08000000007</v>
      </c>
      <c r="M8" s="205">
        <f aca="true" t="shared" si="5" ref="M8:M14">F8/K8</f>
        <v>1.3342474260673785</v>
      </c>
      <c r="N8" s="151">
        <f>N9+N15+N18+N19+N23+N17</f>
        <v>118464.60000000003</v>
      </c>
      <c r="O8" s="151">
        <f>O9+O15+O18+O19+O23+O17</f>
        <v>116102.92999999996</v>
      </c>
      <c r="P8" s="151">
        <f aca="true" t="shared" si="6" ref="P8:P15">O8-N8</f>
        <v>-2361.670000000071</v>
      </c>
      <c r="Q8" s="151">
        <f aca="true" t="shared" si="7" ref="Q8:Q14">O8/N8*100</f>
        <v>98.00643398956306</v>
      </c>
      <c r="R8" s="15">
        <f>R9+R15+R18+R19+R23</f>
        <v>102514</v>
      </c>
      <c r="S8" s="15">
        <f>O8-R8</f>
        <v>13588.929999999964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419643.05</v>
      </c>
      <c r="G9" s="150">
        <f t="shared" si="0"/>
        <v>3103.0499999999884</v>
      </c>
      <c r="H9" s="157">
        <f t="shared" si="1"/>
        <v>100.74495846737408</v>
      </c>
      <c r="I9" s="158">
        <f t="shared" si="2"/>
        <v>-347001.95</v>
      </c>
      <c r="J9" s="158">
        <f t="shared" si="3"/>
        <v>54.73759693208721</v>
      </c>
      <c r="K9" s="227">
        <v>295409.71</v>
      </c>
      <c r="L9" s="159">
        <f t="shared" si="4"/>
        <v>124233.33999999997</v>
      </c>
      <c r="M9" s="206">
        <f t="shared" si="5"/>
        <v>1.4205458920087628</v>
      </c>
      <c r="N9" s="157">
        <f>E9-червень!E9</f>
        <v>67300</v>
      </c>
      <c r="O9" s="160">
        <f>F9-червень!F9</f>
        <v>68100.66999999998</v>
      </c>
      <c r="P9" s="161">
        <f t="shared" si="6"/>
        <v>800.6699999999837</v>
      </c>
      <c r="Q9" s="158">
        <f t="shared" si="7"/>
        <v>101.18970282317976</v>
      </c>
      <c r="R9" s="100">
        <v>71000</v>
      </c>
      <c r="S9" s="100">
        <f>O9-R9</f>
        <v>-2899.3300000000163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384084.26</v>
      </c>
      <c r="G10" s="103">
        <f t="shared" si="0"/>
        <v>5476.260000000009</v>
      </c>
      <c r="H10" s="30">
        <f t="shared" si="1"/>
        <v>101.44641951569962</v>
      </c>
      <c r="I10" s="104">
        <f t="shared" si="2"/>
        <v>-317232.74</v>
      </c>
      <c r="J10" s="104">
        <f t="shared" si="3"/>
        <v>54.76614141679155</v>
      </c>
      <c r="K10" s="106">
        <v>259105.9</v>
      </c>
      <c r="L10" s="106">
        <f t="shared" si="4"/>
        <v>124978.36000000002</v>
      </c>
      <c r="M10" s="207">
        <f t="shared" si="5"/>
        <v>1.4823447092482265</v>
      </c>
      <c r="N10" s="105">
        <f>E10-червень!E10</f>
        <v>60544</v>
      </c>
      <c r="O10" s="144">
        <f>F10-червень!F10</f>
        <v>61539.5</v>
      </c>
      <c r="P10" s="106">
        <f t="shared" si="6"/>
        <v>995.5</v>
      </c>
      <c r="Q10" s="104">
        <f t="shared" si="7"/>
        <v>101.64425872093024</v>
      </c>
      <c r="R10" s="37"/>
      <c r="S10" s="100">
        <f>#N/A</f>
        <v>57142.649999999965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22629.08</v>
      </c>
      <c r="G11" s="103">
        <f t="shared" si="0"/>
        <v>-3650.9199999999983</v>
      </c>
      <c r="H11" s="30">
        <f t="shared" si="1"/>
        <v>86.10761035007611</v>
      </c>
      <c r="I11" s="104">
        <f t="shared" si="2"/>
        <v>-23876.92</v>
      </c>
      <c r="J11" s="104">
        <f t="shared" si="3"/>
        <v>48.65840966756978</v>
      </c>
      <c r="K11" s="106">
        <v>21586.03</v>
      </c>
      <c r="L11" s="106">
        <f t="shared" si="4"/>
        <v>1043.050000000003</v>
      </c>
      <c r="M11" s="207">
        <f t="shared" si="5"/>
        <v>1.0483206036496755</v>
      </c>
      <c r="N11" s="105">
        <f>E11-червень!E11</f>
        <v>4080</v>
      </c>
      <c r="O11" s="144">
        <f>F11-червень!F11</f>
        <v>3543.1900000000023</v>
      </c>
      <c r="P11" s="106">
        <f t="shared" si="6"/>
        <v>-536.8099999999977</v>
      </c>
      <c r="Q11" s="104">
        <f t="shared" si="7"/>
        <v>86.8428921568628</v>
      </c>
      <c r="R11" s="37"/>
      <c r="S11" s="100">
        <f>#N/A</f>
        <v>3455.9400000000023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5471.93</v>
      </c>
      <c r="G12" s="103">
        <f t="shared" si="0"/>
        <v>1031.9300000000003</v>
      </c>
      <c r="H12" s="30">
        <f t="shared" si="1"/>
        <v>123.24166666666667</v>
      </c>
      <c r="I12" s="104">
        <f t="shared" si="2"/>
        <v>-2808.0699999999997</v>
      </c>
      <c r="J12" s="104">
        <f t="shared" si="3"/>
        <v>66.08611111111111</v>
      </c>
      <c r="K12" s="106">
        <v>5837.44</v>
      </c>
      <c r="L12" s="106">
        <f t="shared" si="4"/>
        <v>-365.5099999999993</v>
      </c>
      <c r="M12" s="207">
        <f t="shared" si="5"/>
        <v>0.9373852236596866</v>
      </c>
      <c r="N12" s="105">
        <f>E12-червень!E12</f>
        <v>600</v>
      </c>
      <c r="O12" s="144">
        <f>F12-червень!F12</f>
        <v>958.9000000000005</v>
      </c>
      <c r="P12" s="106">
        <f t="shared" si="6"/>
        <v>358.90000000000055</v>
      </c>
      <c r="Q12" s="104">
        <f t="shared" si="7"/>
        <v>159.81666666666678</v>
      </c>
      <c r="R12" s="37"/>
      <c r="S12" s="100">
        <f>#N/A</f>
        <v>935.7600000000002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6636.94</v>
      </c>
      <c r="G13" s="103">
        <f t="shared" si="0"/>
        <v>96.9399999999996</v>
      </c>
      <c r="H13" s="30">
        <f t="shared" si="1"/>
        <v>101.4822629969419</v>
      </c>
      <c r="I13" s="104">
        <f t="shared" si="2"/>
        <v>-2753.0600000000004</v>
      </c>
      <c r="J13" s="104">
        <f t="shared" si="3"/>
        <v>70.68093716719915</v>
      </c>
      <c r="K13" s="106">
        <v>6429.46</v>
      </c>
      <c r="L13" s="106">
        <f t="shared" si="4"/>
        <v>207.47999999999956</v>
      </c>
      <c r="M13" s="207">
        <f t="shared" si="5"/>
        <v>1.032270206207053</v>
      </c>
      <c r="N13" s="105">
        <f>E13-червень!E13</f>
        <v>1980</v>
      </c>
      <c r="O13" s="144">
        <f>F13-червень!F13</f>
        <v>1945.7699999999995</v>
      </c>
      <c r="P13" s="106">
        <f t="shared" si="6"/>
        <v>-34.23000000000047</v>
      </c>
      <c r="Q13" s="104">
        <f t="shared" si="7"/>
        <v>98.27121212121209</v>
      </c>
      <c r="R13" s="37"/>
      <c r="S13" s="100">
        <f>#N/A</f>
        <v>1728.6999999999998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820.83</v>
      </c>
      <c r="G14" s="103">
        <f t="shared" si="0"/>
        <v>148.83000000000004</v>
      </c>
      <c r="H14" s="30">
        <f t="shared" si="1"/>
        <v>122.14732142857143</v>
      </c>
      <c r="I14" s="104">
        <f t="shared" si="2"/>
        <v>-331.16999999999996</v>
      </c>
      <c r="J14" s="104">
        <f t="shared" si="3"/>
        <v>71.25260416666667</v>
      </c>
      <c r="K14" s="106">
        <v>2450.88</v>
      </c>
      <c r="L14" s="106">
        <f t="shared" si="4"/>
        <v>-1630.0500000000002</v>
      </c>
      <c r="M14" s="207">
        <f t="shared" si="5"/>
        <v>0.3349123580101841</v>
      </c>
      <c r="N14" s="105">
        <f>E14-червень!E14</f>
        <v>96</v>
      </c>
      <c r="O14" s="144">
        <f>F14-червень!F14</f>
        <v>113.30000000000007</v>
      </c>
      <c r="P14" s="106">
        <f t="shared" si="6"/>
        <v>17.300000000000068</v>
      </c>
      <c r="Q14" s="104">
        <f t="shared" si="7"/>
        <v>118.0208333333334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 t="shared" si="0"/>
        <v>-296.01</v>
      </c>
      <c r="H15" s="157">
        <f t="shared" si="1"/>
        <v>13.193548387096774</v>
      </c>
      <c r="I15" s="158">
        <f t="shared" si="2"/>
        <v>-506.01</v>
      </c>
      <c r="J15" s="158">
        <f t="shared" si="3"/>
        <v>8.165154264972777</v>
      </c>
      <c r="K15" s="161">
        <v>309.24</v>
      </c>
      <c r="L15" s="161">
        <f aca="true" t="shared" si="8" ref="L15:L20">K15-F15</f>
        <v>264.25</v>
      </c>
      <c r="M15" s="208">
        <f>K15/F15</f>
        <v>6.873527450544565</v>
      </c>
      <c r="N15" s="164">
        <f>E15-червень!E15</f>
        <v>0</v>
      </c>
      <c r="O15" s="168">
        <f>F15-червень!F15</f>
        <v>0.4299999999999997</v>
      </c>
      <c r="P15" s="161">
        <f t="shared" si="6"/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0"/>
        <v>0</v>
      </c>
      <c r="H16" s="157" t="e">
        <f>F16/E16/100</f>
        <v>#DIV/0!</v>
      </c>
      <c r="I16" s="158">
        <f t="shared" si="2"/>
        <v>0</v>
      </c>
      <c r="J16" s="158" t="e">
        <f t="shared" si="3"/>
        <v>#DIV/0!</v>
      </c>
      <c r="K16" s="106">
        <v>381.9</v>
      </c>
      <c r="L16" s="161">
        <f t="shared" si="8"/>
        <v>381.9</v>
      </c>
      <c r="M16" s="208" t="e">
        <f>K16/F16</f>
        <v>#DIV/0!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/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0"/>
        <v>0.49</v>
      </c>
      <c r="H17" s="157"/>
      <c r="I17" s="158">
        <f t="shared" si="2"/>
        <v>0.49</v>
      </c>
      <c r="J17" s="158"/>
      <c r="K17" s="167">
        <v>0.17</v>
      </c>
      <c r="L17" s="161">
        <f t="shared" si="8"/>
        <v>-0.31999999999999995</v>
      </c>
      <c r="M17" s="208">
        <f>K17/F17</f>
        <v>0.34693877551020413</v>
      </c>
      <c r="N17" s="164">
        <f>E17-червень!E17</f>
        <v>0</v>
      </c>
      <c r="O17" s="168">
        <f>F17-червень!F17</f>
        <v>0</v>
      </c>
      <c r="P17" s="167">
        <f aca="true" t="shared" si="9" ref="P17:P25"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300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2"/>
        <v>-6.540000000000006</v>
      </c>
      <c r="J18" s="158">
        <f>F18/D18*100</f>
        <v>94.768</v>
      </c>
      <c r="K18" s="161">
        <v>105.8</v>
      </c>
      <c r="L18" s="161">
        <f t="shared" si="8"/>
        <v>-12.659999999999997</v>
      </c>
      <c r="M18" s="208">
        <f>K18/F18</f>
        <v>0.8931284821880804</v>
      </c>
      <c r="N18" s="164">
        <f>E18-червень!E18</f>
        <v>0</v>
      </c>
      <c r="O18" s="168">
        <f>F18-червень!F18</f>
        <v>0</v>
      </c>
      <c r="P18" s="167">
        <f t="shared" si="9"/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59400.33</v>
      </c>
      <c r="G19" s="150">
        <f t="shared" si="0"/>
        <v>-11699.669999999998</v>
      </c>
      <c r="H19" s="157">
        <f>F19/E19*100</f>
        <v>83.54476793248945</v>
      </c>
      <c r="I19" s="158">
        <f t="shared" si="2"/>
        <v>-70599.67</v>
      </c>
      <c r="J19" s="158">
        <f>F19/D19*100</f>
        <v>45.69256153846154</v>
      </c>
      <c r="K19" s="161">
        <v>54291.2</v>
      </c>
      <c r="L19" s="161">
        <f t="shared" si="8"/>
        <v>-5109.130000000005</v>
      </c>
      <c r="M19" s="213">
        <f>F19/K19</f>
        <v>1.0941060429682896</v>
      </c>
      <c r="N19" s="164">
        <f>E19-червень!E19</f>
        <v>11500</v>
      </c>
      <c r="O19" s="168">
        <f>F19-червень!F19</f>
        <v>5440.220000000001</v>
      </c>
      <c r="P19" s="167">
        <f t="shared" si="9"/>
        <v>-6059.779999999999</v>
      </c>
      <c r="Q19" s="158">
        <f aca="true" t="shared" si="10" ref="Q19:Q24">O19/N19*100</f>
        <v>47.30626086956523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36347.96</v>
      </c>
      <c r="G20" s="253">
        <f t="shared" si="0"/>
        <v>-6102.040000000001</v>
      </c>
      <c r="H20" s="195">
        <f>F20/E20*100</f>
        <v>85.62534746760895</v>
      </c>
      <c r="I20" s="254">
        <f t="shared" si="2"/>
        <v>-40152.04</v>
      </c>
      <c r="J20" s="254">
        <f>F20/D20*100</f>
        <v>47.51367320261438</v>
      </c>
      <c r="K20" s="255">
        <v>54291.2</v>
      </c>
      <c r="L20" s="166">
        <f t="shared" si="8"/>
        <v>17943.239999999998</v>
      </c>
      <c r="M20" s="256">
        <f>F20/K20</f>
        <v>0.6695000294707062</v>
      </c>
      <c r="N20" s="195">
        <f>E20-червень!E20</f>
        <v>6550</v>
      </c>
      <c r="O20" s="179">
        <f>F20-червень!F20</f>
        <v>5112.700000000001</v>
      </c>
      <c r="P20" s="166">
        <f t="shared" si="9"/>
        <v>-1437.2999999999993</v>
      </c>
      <c r="Q20" s="254">
        <f t="shared" si="10"/>
        <v>78.05648854961834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 t="shared" si="0"/>
        <v>-907.6800000000003</v>
      </c>
      <c r="H21" s="195">
        <f>F21/E21*100</f>
        <v>84.48410256410256</v>
      </c>
      <c r="I21" s="254">
        <f t="shared" si="2"/>
        <v>-5757.68</v>
      </c>
      <c r="J21" s="254">
        <f>F21/D21*100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 t="shared" si="9"/>
        <v>-756.0100000000002</v>
      </c>
      <c r="Q21" s="254">
        <f t="shared" si="10"/>
        <v>20.419999999999977</v>
      </c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 t="shared" si="0"/>
        <v>-4689.950000000001</v>
      </c>
      <c r="H22" s="195">
        <f>F22/E22*100</f>
        <v>79.43004385964912</v>
      </c>
      <c r="I22" s="254">
        <f t="shared" si="2"/>
        <v>-24689.95</v>
      </c>
      <c r="J22" s="254">
        <f>F22/D22*100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 t="shared" si="9"/>
        <v>-3866.470000000001</v>
      </c>
      <c r="Q22" s="254">
        <f t="shared" si="10"/>
        <v>3.338249999999971</v>
      </c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246365.72999999998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42561.609999999986</v>
      </c>
      <c r="P23" s="161">
        <f t="shared" si="9"/>
        <v>2897.009999999951</v>
      </c>
      <c r="Q23" s="158">
        <f t="shared" si="10"/>
        <v>107.30376708702458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120635.05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21241.380000000005</v>
      </c>
      <c r="P24" s="161">
        <f t="shared" si="9"/>
        <v>-156.61999999999534</v>
      </c>
      <c r="Q24" s="158">
        <f t="shared" si="10"/>
        <v>99.26806243574168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15862.36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4776.83</v>
      </c>
      <c r="P25" s="177">
        <f t="shared" si="9"/>
        <v>-33.17000000000007</v>
      </c>
      <c r="Q25" s="174">
        <f>O25/N25</f>
        <v>0.9931039501039501</v>
      </c>
      <c r="R25" s="104">
        <v>800</v>
      </c>
      <c r="S25" s="104">
        <f>#N/A</f>
        <v>3976.4699999999993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1160</v>
      </c>
      <c r="F26" s="163">
        <v>436.63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223.37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14039.1</v>
      </c>
      <c r="F27" s="163">
        <v>15425.73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4553.469999999999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-40.81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48.42</v>
      </c>
      <c r="P28" s="177">
        <f>#N/A</f>
        <v>-74.57</v>
      </c>
      <c r="Q28" s="174">
        <f>O28/N28*100</f>
        <v>39.36585365853659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32715</v>
      </c>
      <c r="F30" s="163">
        <v>35855.88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5197.929999999997</v>
      </c>
      <c r="P30" s="200">
        <f>#N/A</f>
        <v>-796.2599999999984</v>
      </c>
      <c r="Q30" s="200">
        <f>O30/N30*100</f>
        <v>87.58096040438073</v>
      </c>
      <c r="R30" s="107"/>
      <c r="S30" s="100">
        <f>#N/A</f>
        <v>5138.740000000002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71900</v>
      </c>
      <c r="F31" s="163">
        <v>68957.62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11218.199999999997</v>
      </c>
      <c r="P31" s="200">
        <f>#N/A</f>
        <v>179.58000000000175</v>
      </c>
      <c r="Q31" s="200">
        <f>O31/N31*100</f>
        <v>106.5356125356125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 aca="true" t="shared" si="11" ref="Q33:Q41"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 t="e">
        <f t="shared" si="11"/>
        <v>#DIV/0!</v>
      </c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125678.95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37871.87999999999</v>
      </c>
      <c r="M35" s="226">
        <f>F35/K35</f>
        <v>1.4313078662116843</v>
      </c>
      <c r="N35" s="157">
        <f>E35-червень!E35</f>
        <v>18257</v>
      </c>
      <c r="O35" s="160">
        <f>F35-червень!F35</f>
        <v>21316.61</v>
      </c>
      <c r="P35" s="167">
        <f>#N/A</f>
        <v>3059.6600000000035</v>
      </c>
      <c r="Q35" s="165">
        <f t="shared" si="11"/>
        <v>116.75855836117654</v>
      </c>
      <c r="R35" s="293">
        <v>7700</v>
      </c>
      <c r="S35" s="293">
        <f>#N/A</f>
        <v>13616.660000000003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65" t="e">
        <f t="shared" si="11"/>
        <v>#DIV/0!</v>
      </c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24091.93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3803.869999999999</v>
      </c>
      <c r="P37" s="106">
        <f>#N/A</f>
        <v>417.7199999999975</v>
      </c>
      <c r="Q37" s="165">
        <f t="shared" si="11"/>
        <v>117.04215384615382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101556.93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17506.15999999999</v>
      </c>
      <c r="P38" s="106">
        <f>#N/A</f>
        <v>1797.3399999999965</v>
      </c>
      <c r="Q38" s="165">
        <f t="shared" si="11"/>
        <v>116.70773333333327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65">
        <f t="shared" si="11"/>
        <v>93.85714285714282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165" t="e">
        <f t="shared" si="11"/>
        <v>#DIV/0!</v>
      </c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40463.38999999999</v>
      </c>
      <c r="G41" s="287">
        <f>G42+G43+G44+G45+G46+G48+G50+G51+G52+G53+G54+G59+G60+G64+G47+G49</f>
        <v>5269.689999999999</v>
      </c>
      <c r="H41" s="152">
        <f>F41/E41*100</f>
        <v>114.97339012380054</v>
      </c>
      <c r="I41" s="153">
        <f>F41-D41</f>
        <v>-18561.610000000008</v>
      </c>
      <c r="J41" s="153">
        <f>F41/D41*100</f>
        <v>68.55296908089791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6404.929999999999</v>
      </c>
      <c r="P41" s="151">
        <f>P42+P43+P44+P45+P46+P48+P50+P51+P52+P53+P54+P59+P60+P64</f>
        <v>1118.2200000000005</v>
      </c>
      <c r="Q41" s="151">
        <f t="shared" si="11"/>
        <v>121.36065635895102</v>
      </c>
      <c r="R41" s="15">
        <f>R42+R43+R44+R45+R46+R47+R48+R50+R51+R52+R53+R54+R59+R60+R64</f>
        <v>5598.5</v>
      </c>
      <c r="S41" s="15">
        <f>O41-R41</f>
        <v>806.4299999999994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F42/E42*100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F42-K42</f>
        <v>1963.9300000000003</v>
      </c>
      <c r="M42" s="218">
        <f>F42/K42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/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 aca="true" t="shared" si="12" ref="G43:G66">F43-E43</f>
        <v>-607.3700000000008</v>
      </c>
      <c r="H43" s="164">
        <f aca="true" t="shared" si="13" ref="H43:H66">F43/E43*100</f>
        <v>96.31896969696969</v>
      </c>
      <c r="I43" s="165">
        <f aca="true" t="shared" si="14" ref="I43:I66">F43-D43</f>
        <v>-14107.37</v>
      </c>
      <c r="J43" s="165">
        <f aca="true" t="shared" si="15" ref="J43:J66">F43/D43*100</f>
        <v>52.975433333333335</v>
      </c>
      <c r="K43" s="165">
        <v>17271.02</v>
      </c>
      <c r="L43" s="165">
        <f aca="true" t="shared" si="16" ref="L43:L66">F43-K43</f>
        <v>-1378.3900000000012</v>
      </c>
      <c r="M43" s="218">
        <f aca="true" t="shared" si="17" ref="M43:M66">F43/K43</f>
        <v>0.9201905851536272</v>
      </c>
      <c r="N43" s="164">
        <f>E43-червень!E43</f>
        <v>2800</v>
      </c>
      <c r="O43" s="168">
        <f>F43-червень!F43</f>
        <v>2538.99</v>
      </c>
      <c r="P43" s="167">
        <f aca="true" t="shared" si="18" ref="P43:P66">O43-N43</f>
        <v>-261.0100000000002</v>
      </c>
      <c r="Q43" s="165">
        <f aca="true" t="shared" si="19" ref="Q43:Q66">O43/N43*100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 t="shared" si="12"/>
        <v>95.3</v>
      </c>
      <c r="H44" s="164">
        <f t="shared" si="13"/>
        <v>514.3478260869565</v>
      </c>
      <c r="I44" s="165">
        <f t="shared" si="14"/>
        <v>78.3</v>
      </c>
      <c r="J44" s="165">
        <f t="shared" si="15"/>
        <v>295.75</v>
      </c>
      <c r="K44" s="165">
        <v>28.07</v>
      </c>
      <c r="L44" s="165">
        <f t="shared" si="16"/>
        <v>90.22999999999999</v>
      </c>
      <c r="M44" s="218">
        <f t="shared" si="17"/>
        <v>4.214463840399002</v>
      </c>
      <c r="N44" s="164">
        <f>E44-червень!E44</f>
        <v>1</v>
      </c>
      <c r="O44" s="168">
        <f>F44-червень!F44</f>
        <v>15.5</v>
      </c>
      <c r="P44" s="167">
        <f t="shared" si="18"/>
        <v>14.5</v>
      </c>
      <c r="Q44" s="165">
        <f t="shared" si="19"/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 t="shared" si="12"/>
        <v>10.79</v>
      </c>
      <c r="H45" s="164" t="e">
        <f t="shared" si="13"/>
        <v>#DIV/0!</v>
      </c>
      <c r="I45" s="165">
        <f t="shared" si="14"/>
        <v>10.79</v>
      </c>
      <c r="J45" s="165" t="e">
        <f t="shared" si="15"/>
        <v>#DIV/0!</v>
      </c>
      <c r="K45" s="165">
        <v>0.1</v>
      </c>
      <c r="L45" s="165">
        <f t="shared" si="16"/>
        <v>10.69</v>
      </c>
      <c r="M45" s="218">
        <f t="shared" si="17"/>
        <v>107.89999999999999</v>
      </c>
      <c r="N45" s="164">
        <f>E45-червень!E45</f>
        <v>0</v>
      </c>
      <c r="O45" s="168">
        <f>F45-червень!F45</f>
        <v>8.76</v>
      </c>
      <c r="P45" s="167">
        <f t="shared" si="18"/>
        <v>8.76</v>
      </c>
      <c r="Q45" s="165"/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545.59</v>
      </c>
      <c r="G46" s="162">
        <f t="shared" si="12"/>
        <v>395.59000000000003</v>
      </c>
      <c r="H46" s="164">
        <f t="shared" si="13"/>
        <v>363.7266666666667</v>
      </c>
      <c r="I46" s="165">
        <f t="shared" si="14"/>
        <v>285.59000000000003</v>
      </c>
      <c r="J46" s="165">
        <f t="shared" si="15"/>
        <v>209.8423076923077</v>
      </c>
      <c r="K46" s="165">
        <v>187.96</v>
      </c>
      <c r="L46" s="165">
        <f t="shared" si="16"/>
        <v>357.63</v>
      </c>
      <c r="M46" s="218">
        <f t="shared" si="17"/>
        <v>2.902692062140881</v>
      </c>
      <c r="N46" s="164">
        <f>E46-червень!E46</f>
        <v>22</v>
      </c>
      <c r="O46" s="168">
        <f>F46-червень!F46</f>
        <v>44.06000000000006</v>
      </c>
      <c r="P46" s="167">
        <f t="shared" si="18"/>
        <v>22.06000000000006</v>
      </c>
      <c r="Q46" s="165">
        <f t="shared" si="19"/>
        <v>200.27272727272756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 t="shared" si="12"/>
        <v>9.829999999999998</v>
      </c>
      <c r="H47" s="164">
        <f t="shared" si="13"/>
        <v>116.06209150326796</v>
      </c>
      <c r="I47" s="165">
        <f t="shared" si="14"/>
        <v>-26.47</v>
      </c>
      <c r="J47" s="165">
        <f t="shared" si="15"/>
        <v>72.85128205128206</v>
      </c>
      <c r="K47" s="165">
        <v>27.48</v>
      </c>
      <c r="L47" s="165">
        <f t="shared" si="16"/>
        <v>43.55</v>
      </c>
      <c r="M47" s="218">
        <f t="shared" si="17"/>
        <v>2.5847889374090247</v>
      </c>
      <c r="N47" s="164">
        <f>E47-червень!E47</f>
        <v>13.600000000000001</v>
      </c>
      <c r="O47" s="168">
        <f>F47-червень!F47</f>
        <v>0.01999999999999602</v>
      </c>
      <c r="P47" s="167">
        <f t="shared" si="18"/>
        <v>-13.580000000000005</v>
      </c>
      <c r="Q47" s="165">
        <f t="shared" si="19"/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 t="shared" si="12"/>
        <v>194.60000000000002</v>
      </c>
      <c r="H48" s="164">
        <f t="shared" si="13"/>
        <v>137.42307692307693</v>
      </c>
      <c r="I48" s="165">
        <f t="shared" si="14"/>
        <v>-15.399999999999977</v>
      </c>
      <c r="J48" s="165">
        <f t="shared" si="15"/>
        <v>97.89041095890411</v>
      </c>
      <c r="K48" s="165">
        <v>248.37</v>
      </c>
      <c r="L48" s="165">
        <f t="shared" si="16"/>
        <v>466.23</v>
      </c>
      <c r="M48" s="218">
        <f t="shared" si="17"/>
        <v>2.8771590771832347</v>
      </c>
      <c r="N48" s="164">
        <f>E48-червень!E48</f>
        <v>60</v>
      </c>
      <c r="O48" s="168">
        <f>F48-червень!F48</f>
        <v>85.68000000000006</v>
      </c>
      <c r="P48" s="167">
        <f t="shared" si="18"/>
        <v>25.680000000000064</v>
      </c>
      <c r="Q48" s="165">
        <f t="shared" si="19"/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 t="shared" si="12"/>
        <v>23.38</v>
      </c>
      <c r="H49" s="164" t="e">
        <f t="shared" si="13"/>
        <v>#DIV/0!</v>
      </c>
      <c r="I49" s="165">
        <f t="shared" si="14"/>
        <v>23.38</v>
      </c>
      <c r="J49" s="165" t="e">
        <f t="shared" si="15"/>
        <v>#DIV/0!</v>
      </c>
      <c r="K49" s="165"/>
      <c r="L49" s="165">
        <f t="shared" si="16"/>
        <v>23.38</v>
      </c>
      <c r="M49" s="218" t="e">
        <f t="shared" si="17"/>
        <v>#DIV/0!</v>
      </c>
      <c r="N49" s="164">
        <f>E49-червень!E49</f>
        <v>0</v>
      </c>
      <c r="O49" s="168">
        <f>F49-червень!F40</f>
        <v>22.689999999999998</v>
      </c>
      <c r="P49" s="167">
        <f t="shared" si="18"/>
        <v>22.689999999999998</v>
      </c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10783.99</v>
      </c>
      <c r="G50" s="162">
        <f t="shared" si="12"/>
        <v>3743.99</v>
      </c>
      <c r="H50" s="164">
        <f t="shared" si="13"/>
        <v>153.18167613636365</v>
      </c>
      <c r="I50" s="165">
        <f t="shared" si="14"/>
        <v>-216.01000000000022</v>
      </c>
      <c r="J50" s="165">
        <f t="shared" si="15"/>
        <v>98.03627272727272</v>
      </c>
      <c r="K50" s="165">
        <v>6090.63</v>
      </c>
      <c r="L50" s="165">
        <f t="shared" si="16"/>
        <v>4693.36</v>
      </c>
      <c r="M50" s="218">
        <f t="shared" si="17"/>
        <v>1.770586950775207</v>
      </c>
      <c r="N50" s="164">
        <f>E50-червень!E50</f>
        <v>1000</v>
      </c>
      <c r="O50" s="168">
        <f>F50-червень!F50</f>
        <v>2419.6800000000003</v>
      </c>
      <c r="P50" s="167">
        <f t="shared" si="18"/>
        <v>1419.6800000000003</v>
      </c>
      <c r="Q50" s="165">
        <f t="shared" si="19"/>
        <v>241.96800000000005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306.17</v>
      </c>
      <c r="G51" s="162">
        <f t="shared" si="12"/>
        <v>131.17000000000002</v>
      </c>
      <c r="H51" s="164">
        <f t="shared" si="13"/>
        <v>174.95428571428573</v>
      </c>
      <c r="I51" s="165">
        <f t="shared" si="14"/>
        <v>-3.829999999999984</v>
      </c>
      <c r="J51" s="165">
        <f t="shared" si="15"/>
        <v>98.76451612903226</v>
      </c>
      <c r="K51" s="165">
        <v>117.39</v>
      </c>
      <c r="L51" s="165">
        <f t="shared" si="16"/>
        <v>188.78000000000003</v>
      </c>
      <c r="M51" s="218">
        <f t="shared" si="17"/>
        <v>2.608143794190306</v>
      </c>
      <c r="N51" s="164">
        <f>E51-червень!E51</f>
        <v>25</v>
      </c>
      <c r="O51" s="168">
        <f>F51-червень!F51</f>
        <v>43.360000000000014</v>
      </c>
      <c r="P51" s="167">
        <f t="shared" si="18"/>
        <v>18.360000000000014</v>
      </c>
      <c r="Q51" s="165">
        <f t="shared" si="19"/>
        <v>173.44000000000005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 t="shared" si="12"/>
        <v>13.920000000000002</v>
      </c>
      <c r="H52" s="164">
        <f t="shared" si="13"/>
        <v>216</v>
      </c>
      <c r="I52" s="165">
        <f t="shared" si="14"/>
        <v>5.920000000000002</v>
      </c>
      <c r="J52" s="165">
        <f t="shared" si="15"/>
        <v>129.6</v>
      </c>
      <c r="K52" s="165">
        <v>8.54</v>
      </c>
      <c r="L52" s="165">
        <f t="shared" si="16"/>
        <v>17.380000000000003</v>
      </c>
      <c r="M52" s="218">
        <f t="shared" si="17"/>
        <v>3.0351288056206096</v>
      </c>
      <c r="N52" s="164">
        <f>E52-червень!E52</f>
        <v>1</v>
      </c>
      <c r="O52" s="168">
        <f>F52-червень!F52</f>
        <v>7.200000000000003</v>
      </c>
      <c r="P52" s="167">
        <f t="shared" si="18"/>
        <v>6.200000000000003</v>
      </c>
      <c r="Q52" s="165">
        <f t="shared" si="19"/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 t="shared" si="12"/>
        <v>-463.8600000000001</v>
      </c>
      <c r="H53" s="164">
        <f t="shared" si="13"/>
        <v>89.08564705882353</v>
      </c>
      <c r="I53" s="165">
        <f t="shared" si="14"/>
        <v>-3488.86</v>
      </c>
      <c r="J53" s="165">
        <f t="shared" si="15"/>
        <v>52.04316151202749</v>
      </c>
      <c r="K53" s="165">
        <v>4498</v>
      </c>
      <c r="L53" s="165">
        <f t="shared" si="16"/>
        <v>-711.8600000000001</v>
      </c>
      <c r="M53" s="218">
        <f t="shared" si="17"/>
        <v>0.8417385504668742</v>
      </c>
      <c r="N53" s="164">
        <f>E53-червень!E53</f>
        <v>605</v>
      </c>
      <c r="O53" s="168">
        <f>F53-червень!F53</f>
        <v>518.79</v>
      </c>
      <c r="P53" s="167">
        <f t="shared" si="18"/>
        <v>-86.21000000000004</v>
      </c>
      <c r="Q53" s="165">
        <f t="shared" si="19"/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479.15</v>
      </c>
      <c r="G54" s="162">
        <f t="shared" si="12"/>
        <v>-210.85000000000002</v>
      </c>
      <c r="H54" s="164">
        <f t="shared" si="13"/>
        <v>69.44202898550725</v>
      </c>
      <c r="I54" s="165">
        <f t="shared" si="14"/>
        <v>-720.85</v>
      </c>
      <c r="J54" s="165">
        <f t="shared" si="15"/>
        <v>39.92916666666667</v>
      </c>
      <c r="K54" s="165">
        <v>3724.79</v>
      </c>
      <c r="L54" s="165">
        <f t="shared" si="16"/>
        <v>-3245.64</v>
      </c>
      <c r="M54" s="218">
        <f t="shared" si="17"/>
        <v>0.12863812456541174</v>
      </c>
      <c r="N54" s="164">
        <f>E54-червень!E54</f>
        <v>120</v>
      </c>
      <c r="O54" s="168">
        <f>F54-червень!F54</f>
        <v>90.72999999999996</v>
      </c>
      <c r="P54" s="167">
        <f t="shared" si="18"/>
        <v>-29.27000000000004</v>
      </c>
      <c r="Q54" s="165">
        <f t="shared" si="19"/>
        <v>75.6083333333333</v>
      </c>
      <c r="R54" s="37">
        <v>50</v>
      </c>
      <c r="S54" s="37">
        <f>#N/A</f>
        <v>40.879999999999995</v>
      </c>
    </row>
    <row r="55" spans="1:19" s="6" customFormat="1" ht="18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409.14</v>
      </c>
      <c r="G55" s="162">
        <f t="shared" si="12"/>
        <v>-170.86</v>
      </c>
      <c r="H55" s="164">
        <f t="shared" si="13"/>
        <v>70.54137931034482</v>
      </c>
      <c r="I55" s="165">
        <f t="shared" si="14"/>
        <v>-588.86</v>
      </c>
      <c r="J55" s="165">
        <f t="shared" si="15"/>
        <v>40.99599198396793</v>
      </c>
      <c r="K55" s="104">
        <v>504.14</v>
      </c>
      <c r="L55" s="165">
        <f t="shared" si="16"/>
        <v>-95</v>
      </c>
      <c r="M55" s="218">
        <f t="shared" si="17"/>
        <v>0.8115602808743603</v>
      </c>
      <c r="N55" s="105">
        <f>E55-червень!E55</f>
        <v>100</v>
      </c>
      <c r="O55" s="144">
        <f>F55-червень!F55</f>
        <v>76.61000000000001</v>
      </c>
      <c r="P55" s="167">
        <f t="shared" si="18"/>
        <v>-23.389999999999986</v>
      </c>
      <c r="Q55" s="165">
        <f t="shared" si="19"/>
        <v>76.61000000000001</v>
      </c>
      <c r="R55" s="37"/>
      <c r="S55" s="37">
        <f>#N/A</f>
        <v>75.43</v>
      </c>
    </row>
    <row r="56" spans="1:19" s="6" customFormat="1" ht="18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62">
        <f t="shared" si="12"/>
        <v>0.15</v>
      </c>
      <c r="H56" s="164" t="e">
        <f t="shared" si="13"/>
        <v>#DIV/0!</v>
      </c>
      <c r="I56" s="165">
        <f t="shared" si="14"/>
        <v>-0.85</v>
      </c>
      <c r="J56" s="165">
        <f t="shared" si="15"/>
        <v>15</v>
      </c>
      <c r="K56" s="104">
        <v>0.26</v>
      </c>
      <c r="L56" s="165">
        <f t="shared" si="16"/>
        <v>-0.11000000000000001</v>
      </c>
      <c r="M56" s="218">
        <f t="shared" si="17"/>
        <v>0.5769230769230769</v>
      </c>
      <c r="N56" s="105">
        <f>E56-червень!E56</f>
        <v>0</v>
      </c>
      <c r="O56" s="144">
        <f>F56-червень!F56</f>
        <v>0</v>
      </c>
      <c r="P56" s="167">
        <f t="shared" si="18"/>
        <v>0</v>
      </c>
      <c r="Q56" s="165"/>
      <c r="R56" s="37"/>
      <c r="S56" s="37">
        <f>#N/A</f>
        <v>0</v>
      </c>
    </row>
    <row r="57" spans="1:19" s="6" customFormat="1" ht="18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62">
        <f t="shared" si="12"/>
        <v>0</v>
      </c>
      <c r="H57" s="164" t="e">
        <f t="shared" si="13"/>
        <v>#DIV/0!</v>
      </c>
      <c r="I57" s="165">
        <f t="shared" si="14"/>
        <v>-1</v>
      </c>
      <c r="J57" s="165">
        <f t="shared" si="15"/>
        <v>0</v>
      </c>
      <c r="K57" s="104">
        <v>0.02</v>
      </c>
      <c r="L57" s="165">
        <f t="shared" si="16"/>
        <v>-0.02</v>
      </c>
      <c r="M57" s="218">
        <f t="shared" si="17"/>
        <v>0</v>
      </c>
      <c r="N57" s="105">
        <f>E57-червень!E57</f>
        <v>0</v>
      </c>
      <c r="O57" s="144">
        <f>F57-червень!F57</f>
        <v>0</v>
      </c>
      <c r="P57" s="167">
        <f t="shared" si="18"/>
        <v>0</v>
      </c>
      <c r="Q57" s="165"/>
      <c r="R57" s="37"/>
      <c r="S57" s="37">
        <f>#N/A</f>
        <v>0</v>
      </c>
    </row>
    <row r="58" spans="1:19" s="6" customFormat="1" ht="18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69.85</v>
      </c>
      <c r="G58" s="162">
        <f t="shared" si="12"/>
        <v>-40.150000000000006</v>
      </c>
      <c r="H58" s="164">
        <f t="shared" si="13"/>
        <v>63.49999999999999</v>
      </c>
      <c r="I58" s="165">
        <f t="shared" si="14"/>
        <v>-130.15</v>
      </c>
      <c r="J58" s="165">
        <f t="shared" si="15"/>
        <v>34.925</v>
      </c>
      <c r="K58" s="104">
        <v>3220.38</v>
      </c>
      <c r="L58" s="165">
        <f t="shared" si="16"/>
        <v>-3150.53</v>
      </c>
      <c r="M58" s="218">
        <f t="shared" si="17"/>
        <v>0.021689986895956376</v>
      </c>
      <c r="N58" s="105">
        <f>E58-червень!E58</f>
        <v>20</v>
      </c>
      <c r="O58" s="144">
        <f>F58-червень!F58</f>
        <v>14.109999999999992</v>
      </c>
      <c r="P58" s="167">
        <f t="shared" si="18"/>
        <v>-5.890000000000008</v>
      </c>
      <c r="Q58" s="165">
        <f t="shared" si="19"/>
        <v>70.54999999999995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>
        <f t="shared" si="13"/>
        <v>81.60000000000001</v>
      </c>
      <c r="I59" s="165">
        <f t="shared" si="14"/>
        <v>-0.45999999999999996</v>
      </c>
      <c r="J59" s="165">
        <f t="shared" si="15"/>
        <v>81.60000000000001</v>
      </c>
      <c r="K59" s="165">
        <v>2.46</v>
      </c>
      <c r="L59" s="165">
        <f t="shared" si="16"/>
        <v>-0.41999999999999993</v>
      </c>
      <c r="M59" s="218">
        <f t="shared" si="17"/>
        <v>0.8292682926829269</v>
      </c>
      <c r="N59" s="164">
        <f>E59-червень!E59</f>
        <v>0</v>
      </c>
      <c r="O59" s="168">
        <f>F59-червень!F59</f>
        <v>0</v>
      </c>
      <c r="P59" s="167">
        <f t="shared" si="18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 t="shared" si="12"/>
        <v>-21.800000000000182</v>
      </c>
      <c r="H60" s="164">
        <f t="shared" si="13"/>
        <v>99.6007326007326</v>
      </c>
      <c r="I60" s="165">
        <f t="shared" si="14"/>
        <v>-1911.8000000000002</v>
      </c>
      <c r="J60" s="165">
        <f t="shared" si="15"/>
        <v>73.9891156462585</v>
      </c>
      <c r="K60" s="165">
        <v>4261.9</v>
      </c>
      <c r="L60" s="165">
        <f t="shared" si="16"/>
        <v>1176.3000000000002</v>
      </c>
      <c r="M60" s="218">
        <f t="shared" si="17"/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 t="shared" si="18"/>
        <v>3.4200000000000728</v>
      </c>
      <c r="Q60" s="165">
        <f t="shared" si="19"/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3"/>
        <v>#DIV/0!</v>
      </c>
      <c r="I61" s="165">
        <f t="shared" si="14"/>
        <v>0</v>
      </c>
      <c r="J61" s="165" t="e">
        <f t="shared" si="15"/>
        <v>#DIV/0!</v>
      </c>
      <c r="K61" s="165"/>
      <c r="L61" s="165">
        <f t="shared" si="16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8"/>
        <v>0</v>
      </c>
      <c r="Q61" s="165" t="e">
        <f t="shared" si="19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1234.58</v>
      </c>
      <c r="G62" s="162">
        <f t="shared" si="12"/>
        <v>1234.58</v>
      </c>
      <c r="H62" s="164" t="e">
        <f t="shared" si="13"/>
        <v>#DIV/0!</v>
      </c>
      <c r="I62" s="165">
        <f t="shared" si="14"/>
        <v>1234.58</v>
      </c>
      <c r="J62" s="165" t="e">
        <f t="shared" si="15"/>
        <v>#DIV/0!</v>
      </c>
      <c r="K62" s="166">
        <v>731.46</v>
      </c>
      <c r="L62" s="165">
        <f t="shared" si="16"/>
        <v>503.1199999999999</v>
      </c>
      <c r="M62" s="218">
        <f t="shared" si="17"/>
        <v>1.6878298198124297</v>
      </c>
      <c r="N62" s="195"/>
      <c r="O62" s="179">
        <f>F62-червень!F62</f>
        <v>164.8699999999999</v>
      </c>
      <c r="P62" s="167">
        <f t="shared" si="18"/>
        <v>164.8699999999999</v>
      </c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 t="e">
        <f t="shared" si="13"/>
        <v>#DIV/0!</v>
      </c>
      <c r="I63" s="165">
        <f t="shared" si="14"/>
        <v>0</v>
      </c>
      <c r="J63" s="165" t="e">
        <f t="shared" si="15"/>
        <v>#DIV/0!</v>
      </c>
      <c r="K63" s="166"/>
      <c r="L63" s="165">
        <f t="shared" si="16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8"/>
        <v>0</v>
      </c>
      <c r="Q63" s="165" t="e">
        <f t="shared" si="19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 t="shared" si="12"/>
        <v>10.14</v>
      </c>
      <c r="H64" s="164">
        <f t="shared" si="13"/>
        <v>120.28000000000002</v>
      </c>
      <c r="I64" s="165">
        <f t="shared" si="14"/>
        <v>-99.86</v>
      </c>
      <c r="J64" s="165">
        <f t="shared" si="15"/>
        <v>37.5875</v>
      </c>
      <c r="K64" s="165">
        <v>78.18</v>
      </c>
      <c r="L64" s="165">
        <f t="shared" si="16"/>
        <v>-18.040000000000006</v>
      </c>
      <c r="M64" s="218">
        <f t="shared" si="17"/>
        <v>0.7692504476848299</v>
      </c>
      <c r="N64" s="164">
        <f>E64-червень!E64</f>
        <v>30</v>
      </c>
      <c r="O64" s="168">
        <f>F64-червень!F64</f>
        <v>5.5</v>
      </c>
      <c r="P64" s="167">
        <f t="shared" si="18"/>
        <v>-24.5</v>
      </c>
      <c r="Q64" s="165">
        <f t="shared" si="19"/>
        <v>18.333333333333332</v>
      </c>
      <c r="R64" s="37">
        <v>0</v>
      </c>
      <c r="S64" s="37">
        <f>#N/A</f>
        <v>5.5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 t="shared" si="12"/>
        <v>19.74</v>
      </c>
      <c r="H65" s="164">
        <f t="shared" si="13"/>
        <v>324.31818181818176</v>
      </c>
      <c r="I65" s="165">
        <f t="shared" si="14"/>
        <v>13.54</v>
      </c>
      <c r="J65" s="165">
        <f t="shared" si="15"/>
        <v>190.26666666666665</v>
      </c>
      <c r="K65" s="165">
        <v>13.52</v>
      </c>
      <c r="L65" s="165">
        <f t="shared" si="16"/>
        <v>15.02</v>
      </c>
      <c r="M65" s="218">
        <f t="shared" si="17"/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 t="shared" si="18"/>
        <v>1.959999999999999</v>
      </c>
      <c r="Q65" s="165">
        <f t="shared" si="19"/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 t="e">
        <f t="shared" si="13"/>
        <v>#DIV/0!</v>
      </c>
      <c r="I66" s="165">
        <f t="shared" si="14"/>
        <v>-5.25</v>
      </c>
      <c r="J66" s="165" t="e">
        <f t="shared" si="15"/>
        <v>#DIV/0!</v>
      </c>
      <c r="K66" s="165">
        <v>1.02</v>
      </c>
      <c r="L66" s="165">
        <f t="shared" si="16"/>
        <v>-6.27</v>
      </c>
      <c r="M66" s="218">
        <f t="shared" si="17"/>
        <v>-5.147058823529411</v>
      </c>
      <c r="N66" s="164">
        <f>E66-червень!E66</f>
        <v>0</v>
      </c>
      <c r="O66" s="168">
        <f>F66-червень!F66</f>
        <v>0</v>
      </c>
      <c r="P66" s="167">
        <f t="shared" si="18"/>
        <v>0</v>
      </c>
      <c r="Q66" s="165" t="e">
        <f t="shared" si="19"/>
        <v>#DIV/0!</v>
      </c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766059.7300000001</v>
      </c>
      <c r="G67" s="151">
        <f>F67-E67</f>
        <v>3517.0300000001444</v>
      </c>
      <c r="H67" s="152">
        <f>F67/E67*100</f>
        <v>100.46122400752118</v>
      </c>
      <c r="I67" s="153">
        <f>F67-D67</f>
        <v>-591431.37</v>
      </c>
      <c r="J67" s="153">
        <f>F67/D67*100</f>
        <v>56.43202596319048</v>
      </c>
      <c r="K67" s="153">
        <v>580607.78</v>
      </c>
      <c r="L67" s="153">
        <f>F67-K67</f>
        <v>185451.95000000007</v>
      </c>
      <c r="M67" s="219">
        <f>F67/K67</f>
        <v>1.3194100327074503</v>
      </c>
      <c r="N67" s="151">
        <f>N8+N41+N65+N66</f>
        <v>123743.40000000004</v>
      </c>
      <c r="O67" s="151">
        <f>O8+O41+O65+O66</f>
        <v>122511.01999999996</v>
      </c>
      <c r="P67" s="155">
        <f>O67-N67</f>
        <v>-1232.3800000000774</v>
      </c>
      <c r="Q67" s="153">
        <f>O67/N67*100</f>
        <v>99.00408425823109</v>
      </c>
      <c r="R67" s="27">
        <f>R8+R41+R65+R66</f>
        <v>108115.7</v>
      </c>
      <c r="S67" s="280">
        <f>O67-R67</f>
        <v>14395.319999999963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67">
        <f aca="true" t="shared" si="20" ref="P74:P86">O74-N74</f>
        <v>0</v>
      </c>
      <c r="Q74" s="16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F75-E75</f>
        <v>35.57</v>
      </c>
      <c r="H75" s="186"/>
      <c r="I75" s="187">
        <f>F75-D75</f>
        <v>35.57</v>
      </c>
      <c r="J75" s="187"/>
      <c r="K75" s="187">
        <v>0</v>
      </c>
      <c r="L75" s="187">
        <f>F75-K75</f>
        <v>35.57</v>
      </c>
      <c r="M75" s="187"/>
      <c r="N75" s="186">
        <f>E75-червень!E75</f>
        <v>0</v>
      </c>
      <c r="O75" s="289">
        <f>F75-червень!F75</f>
        <v>0</v>
      </c>
      <c r="P75" s="167">
        <f t="shared" si="20"/>
        <v>0</v>
      </c>
      <c r="Q75" s="16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F76-E76</f>
        <v>-13496.23</v>
      </c>
      <c r="H76" s="164">
        <f>F76/E76*100</f>
        <v>0.027925925925925927</v>
      </c>
      <c r="I76" s="167">
        <f>F76-D76</f>
        <v>-104202.26</v>
      </c>
      <c r="J76" s="167">
        <f>F76/D76*100</f>
        <v>0.0036178328643745477</v>
      </c>
      <c r="K76" s="167">
        <v>1535.06</v>
      </c>
      <c r="L76" s="167">
        <f>F76-K76</f>
        <v>-1531.29</v>
      </c>
      <c r="M76" s="209">
        <f aca="true" t="shared" si="21" ref="M76:M86"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 t="shared" si="20"/>
        <v>-4499.95</v>
      </c>
      <c r="Q76" s="167">
        <f aca="true" t="shared" si="22" ref="Q76:Q86"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 aca="true" t="shared" si="23" ref="G77:G86">F77-E77</f>
        <v>-13323.79</v>
      </c>
      <c r="H77" s="164">
        <f aca="true" t="shared" si="24" ref="H77:H87">F77/E77*100</f>
        <v>30.71352054082163</v>
      </c>
      <c r="I77" s="167">
        <f aca="true" t="shared" si="25" ref="I77:I87">F77-D77</f>
        <v>-48093.79</v>
      </c>
      <c r="J77" s="167">
        <f>F77/D77*100</f>
        <v>10.937425925925925</v>
      </c>
      <c r="K77" s="167">
        <v>6751.5</v>
      </c>
      <c r="L77" s="167">
        <f aca="true" t="shared" si="26" ref="L77:L86">F77-K77</f>
        <v>-845.29</v>
      </c>
      <c r="M77" s="209">
        <f t="shared" si="21"/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 t="shared" si="20"/>
        <v>689.0599999999995</v>
      </c>
      <c r="Q77" s="167">
        <f t="shared" si="22"/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 t="shared" si="23"/>
        <v>-13078.7</v>
      </c>
      <c r="H78" s="164">
        <f t="shared" si="24"/>
        <v>34.76957605985038</v>
      </c>
      <c r="I78" s="167">
        <f t="shared" si="25"/>
        <v>-72028.7</v>
      </c>
      <c r="J78" s="167">
        <f>F78/D78*100</f>
        <v>8.824430379746834</v>
      </c>
      <c r="K78" s="167">
        <v>9509.69</v>
      </c>
      <c r="L78" s="167">
        <f t="shared" si="26"/>
        <v>-2538.3900000000003</v>
      </c>
      <c r="M78" s="209">
        <f t="shared" si="21"/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 t="shared" si="20"/>
        <v>-3446.92</v>
      </c>
      <c r="Q78" s="167">
        <f t="shared" si="22"/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 t="shared" si="23"/>
        <v>1</v>
      </c>
      <c r="H79" s="164">
        <f t="shared" si="24"/>
        <v>114.28571428571428</v>
      </c>
      <c r="I79" s="167">
        <f t="shared" si="25"/>
        <v>-4</v>
      </c>
      <c r="J79" s="167">
        <f>F79/D79*100</f>
        <v>66.66666666666666</v>
      </c>
      <c r="K79" s="167">
        <v>6</v>
      </c>
      <c r="L79" s="167">
        <f t="shared" si="26"/>
        <v>2</v>
      </c>
      <c r="M79" s="209">
        <f t="shared" si="21"/>
        <v>1.3333333333333333</v>
      </c>
      <c r="N79" s="164">
        <f>E79-червень!E79</f>
        <v>1</v>
      </c>
      <c r="O79" s="168">
        <f>F79-червень!F79</f>
        <v>1</v>
      </c>
      <c r="P79" s="167">
        <f t="shared" si="20"/>
        <v>0</v>
      </c>
      <c r="Q79" s="167">
        <f t="shared" si="22"/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62">
        <f t="shared" si="23"/>
        <v>-39897.72</v>
      </c>
      <c r="H80" s="164">
        <f t="shared" si="24"/>
        <v>24.417527042643076</v>
      </c>
      <c r="I80" s="167">
        <f t="shared" si="25"/>
        <v>-224328.75</v>
      </c>
      <c r="J80" s="187">
        <f>F80/D80*100</f>
        <v>5.433516162325436</v>
      </c>
      <c r="K80" s="187">
        <v>17802.25</v>
      </c>
      <c r="L80" s="167">
        <f t="shared" si="26"/>
        <v>-4912.969999999999</v>
      </c>
      <c r="M80" s="214">
        <f t="shared" si="21"/>
        <v>0.7240253338763359</v>
      </c>
      <c r="N80" s="185">
        <f>N76+N77+N78+N79</f>
        <v>11951</v>
      </c>
      <c r="O80" s="189">
        <f>O76+O77+O78+O79</f>
        <v>4693.19</v>
      </c>
      <c r="P80" s="167">
        <f t="shared" si="20"/>
        <v>-7257.81</v>
      </c>
      <c r="Q80" s="167">
        <f t="shared" si="22"/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3"/>
        <v>34.14</v>
      </c>
      <c r="H81" s="164">
        <f t="shared" si="24"/>
        <v>953.5</v>
      </c>
      <c r="I81" s="167">
        <f t="shared" si="25"/>
        <v>-1.8599999999999994</v>
      </c>
      <c r="J81" s="167"/>
      <c r="K81" s="167">
        <v>5.21</v>
      </c>
      <c r="L81" s="167">
        <f t="shared" si="26"/>
        <v>32.93</v>
      </c>
      <c r="M81" s="209">
        <f t="shared" si="21"/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 t="shared" si="20"/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3"/>
        <v>0</v>
      </c>
      <c r="H82" s="164" t="e">
        <f t="shared" si="24"/>
        <v>#DIV/0!</v>
      </c>
      <c r="I82" s="167">
        <f t="shared" si="25"/>
        <v>0</v>
      </c>
      <c r="J82" s="190"/>
      <c r="K82" s="167">
        <v>0</v>
      </c>
      <c r="L82" s="167">
        <f t="shared" si="26"/>
        <v>0</v>
      </c>
      <c r="M82" s="209" t="e">
        <f t="shared" si="21"/>
        <v>#DIV/0!</v>
      </c>
      <c r="N82" s="164">
        <f>E82-червень!E82</f>
        <v>0</v>
      </c>
      <c r="O82" s="168">
        <f>F82-червень!F82</f>
        <v>0</v>
      </c>
      <c r="P82" s="167">
        <f t="shared" si="20"/>
        <v>0</v>
      </c>
      <c r="Q82" s="167" t="e">
        <f t="shared" si="22"/>
        <v>#DIV/0!</v>
      </c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 t="shared" si="23"/>
        <v>602.8999999999996</v>
      </c>
      <c r="H83" s="164">
        <f t="shared" si="24"/>
        <v>113.36570009754365</v>
      </c>
      <c r="I83" s="167">
        <f t="shared" si="25"/>
        <v>-3246.3</v>
      </c>
      <c r="J83" s="167">
        <f>F83/D83*100</f>
        <v>61.16866028708133</v>
      </c>
      <c r="K83" s="167">
        <v>4902.34</v>
      </c>
      <c r="L83" s="167">
        <f t="shared" si="26"/>
        <v>211.35999999999967</v>
      </c>
      <c r="M83" s="209">
        <f t="shared" si="21"/>
        <v>1.043114104692861</v>
      </c>
      <c r="N83" s="164">
        <f>E83-червень!E83</f>
        <v>3.800000000000182</v>
      </c>
      <c r="O83" s="168">
        <f>F83-червень!F83</f>
        <v>9.6899999999996</v>
      </c>
      <c r="P83" s="167">
        <f t="shared" si="20"/>
        <v>5.889999999999418</v>
      </c>
      <c r="Q83" s="167">
        <f t="shared" si="22"/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23"/>
        <v>0.05</v>
      </c>
      <c r="H84" s="164" t="e">
        <f t="shared" si="24"/>
        <v>#DIV/0!</v>
      </c>
      <c r="I84" s="167">
        <f t="shared" si="25"/>
        <v>0.05</v>
      </c>
      <c r="J84" s="167"/>
      <c r="K84" s="167">
        <v>0.92</v>
      </c>
      <c r="L84" s="167">
        <f t="shared" si="26"/>
        <v>-0.87</v>
      </c>
      <c r="M84" s="209">
        <f t="shared" si="21"/>
        <v>0.05434782608695652</v>
      </c>
      <c r="N84" s="164">
        <f>E84-червень!E84</f>
        <v>0</v>
      </c>
      <c r="O84" s="168">
        <f>F84-червень!F84</f>
        <v>0</v>
      </c>
      <c r="P84" s="167">
        <f t="shared" si="20"/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62">
        <f t="shared" si="23"/>
        <v>637.0899999999992</v>
      </c>
      <c r="H85" s="164">
        <f t="shared" si="24"/>
        <v>114.11114556569504</v>
      </c>
      <c r="I85" s="167">
        <f t="shared" si="25"/>
        <v>-3248.1100000000006</v>
      </c>
      <c r="J85" s="187">
        <f>F85/D85*100</f>
        <v>61.332023809523804</v>
      </c>
      <c r="K85" s="187">
        <v>4908.48</v>
      </c>
      <c r="L85" s="167">
        <f t="shared" si="26"/>
        <v>243.40999999999985</v>
      </c>
      <c r="M85" s="209">
        <f t="shared" si="21"/>
        <v>1.0495896896799009</v>
      </c>
      <c r="N85" s="185">
        <f>N81+N84+N82+N83</f>
        <v>3.800000000000182</v>
      </c>
      <c r="O85" s="189">
        <f>O81+O84+O82+O83</f>
        <v>12.519999999999598</v>
      </c>
      <c r="P85" s="167">
        <f t="shared" si="20"/>
        <v>8.719999999999416</v>
      </c>
      <c r="Q85" s="167">
        <f t="shared" si="22"/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 t="shared" si="23"/>
        <v>-12.370000000000001</v>
      </c>
      <c r="H86" s="164">
        <f t="shared" si="24"/>
        <v>50.12096774193549</v>
      </c>
      <c r="I86" s="167">
        <f t="shared" si="25"/>
        <v>-25.57</v>
      </c>
      <c r="J86" s="167">
        <f>F86/D86*100</f>
        <v>32.71052631578947</v>
      </c>
      <c r="K86" s="167">
        <v>18.76</v>
      </c>
      <c r="L86" s="167">
        <f t="shared" si="26"/>
        <v>-6.330000000000002</v>
      </c>
      <c r="M86" s="209">
        <f t="shared" si="21"/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 t="shared" si="20"/>
        <v>3.1899999999999995</v>
      </c>
      <c r="Q86" s="167">
        <f t="shared" si="22"/>
        <v>312.66666666666663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 t="e">
        <f t="shared" si="24"/>
        <v>#DIV/0!</v>
      </c>
      <c r="I87" s="167">
        <f t="shared" si="25"/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784146.2700000001</v>
      </c>
      <c r="G89" s="192">
        <f>F89-E89</f>
        <v>-35723.029999999795</v>
      </c>
      <c r="H89" s="193">
        <f>F89/E89*100</f>
        <v>95.64283843778517</v>
      </c>
      <c r="I89" s="194">
        <f>F89-D89</f>
        <v>-819000.86</v>
      </c>
      <c r="J89" s="194">
        <f>F89/D89*100</f>
        <v>48.91293227715163</v>
      </c>
      <c r="K89" s="194">
        <f>K67+K88</f>
        <v>603334.98</v>
      </c>
      <c r="L89" s="194">
        <f>F89-K89</f>
        <v>180811.29000000015</v>
      </c>
      <c r="M89" s="221">
        <f>#N/A</f>
        <v>1.299686270469516</v>
      </c>
      <c r="N89" s="192">
        <f>N67+N88</f>
        <v>135699.70000000004</v>
      </c>
      <c r="O89" s="192">
        <f>O67+O88</f>
        <v>127221.41999999995</v>
      </c>
      <c r="P89" s="194">
        <f>#N/A</f>
        <v>-8478.360000000073</v>
      </c>
      <c r="Q89" s="194">
        <f>O89/N89*100</f>
        <v>93.75217483900106</v>
      </c>
      <c r="R89" s="27">
        <f>R67+R88</f>
        <v>112668.9</v>
      </c>
      <c r="S89" s="27">
        <f>S67+S88</f>
        <v>14552.519999999962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41"/>
      <c r="H92" s="341"/>
      <c r="I92" s="341"/>
      <c r="J92" s="341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342"/>
      <c r="P93" s="342"/>
    </row>
    <row r="94" spans="3:16" ht="15">
      <c r="C94" s="81">
        <v>42944</v>
      </c>
      <c r="D94" s="29">
        <v>13586.1</v>
      </c>
      <c r="G94" s="334"/>
      <c r="H94" s="334"/>
      <c r="I94" s="118"/>
      <c r="J94" s="349"/>
      <c r="K94" s="349"/>
      <c r="L94" s="349"/>
      <c r="M94" s="349"/>
      <c r="N94" s="349"/>
      <c r="O94" s="342"/>
      <c r="P94" s="342"/>
    </row>
    <row r="95" spans="3:16" ht="15.75" customHeight="1">
      <c r="C95" s="81">
        <v>42943</v>
      </c>
      <c r="D95" s="29">
        <v>6106.3</v>
      </c>
      <c r="F95" s="68"/>
      <c r="G95" s="334"/>
      <c r="H95" s="334"/>
      <c r="I95" s="118"/>
      <c r="J95" s="350"/>
      <c r="K95" s="350"/>
      <c r="L95" s="350"/>
      <c r="M95" s="350"/>
      <c r="N95" s="350"/>
      <c r="O95" s="342"/>
      <c r="P95" s="342"/>
    </row>
    <row r="96" spans="3:14" ht="15.75" customHeight="1">
      <c r="C96" s="81"/>
      <c r="F96" s="68"/>
      <c r="G96" s="346"/>
      <c r="H96" s="346"/>
      <c r="I96" s="124"/>
      <c r="J96" s="349"/>
      <c r="K96" s="349"/>
      <c r="L96" s="349"/>
      <c r="M96" s="349"/>
      <c r="N96" s="349"/>
    </row>
    <row r="97" spans="2:14" ht="18" customHeight="1">
      <c r="B97" s="347" t="s">
        <v>56</v>
      </c>
      <c r="C97" s="348"/>
      <c r="D97" s="133" t="e">
        <f>'[1]ЧТКЕ'!$G$6/1000</f>
        <v>#VALUE!</v>
      </c>
      <c r="E97" s="69"/>
      <c r="F97" s="125" t="s">
        <v>107</v>
      </c>
      <c r="G97" s="334"/>
      <c r="H97" s="334"/>
      <c r="I97" s="126"/>
      <c r="J97" s="349"/>
      <c r="K97" s="349"/>
      <c r="L97" s="349"/>
      <c r="M97" s="349"/>
      <c r="N97" s="349"/>
    </row>
    <row r="98" spans="6:13" ht="9.75" customHeight="1" hidden="1">
      <c r="F98" s="68"/>
      <c r="G98" s="334"/>
      <c r="H98" s="334"/>
      <c r="I98" s="68"/>
      <c r="J98" s="69"/>
      <c r="K98" s="69"/>
      <c r="L98" s="69"/>
      <c r="M98" s="69"/>
    </row>
    <row r="99" spans="2:13" ht="22.5" customHeight="1" hidden="1">
      <c r="B99" s="343" t="s">
        <v>59</v>
      </c>
      <c r="C99" s="344"/>
      <c r="D99" s="80">
        <v>0</v>
      </c>
      <c r="E99" s="51" t="s">
        <v>24</v>
      </c>
      <c r="F99" s="68"/>
      <c r="G99" s="334"/>
      <c r="H99" s="334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1046.69</v>
      </c>
      <c r="G100" s="68">
        <f>G48+G51+G52</f>
        <v>339.69000000000005</v>
      </c>
      <c r="H100" s="69"/>
      <c r="I100" s="69"/>
      <c r="N100" s="29">
        <f>N48+N51+N52</f>
        <v>86</v>
      </c>
      <c r="O100" s="202">
        <f>O48+O51+O52</f>
        <v>136.24000000000007</v>
      </c>
      <c r="P100" s="29">
        <f>P48+P51+P52</f>
        <v>50.24000000000008</v>
      </c>
    </row>
    <row r="101" spans="4:16" ht="15" hidden="1">
      <c r="D101" s="78"/>
      <c r="I101" s="29"/>
      <c r="O101" s="345"/>
      <c r="P101" s="34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727819.2500000001</v>
      </c>
      <c r="G102" s="29">
        <f>F102-E102</f>
        <v>207.75000000011642</v>
      </c>
      <c r="H102" s="230">
        <f>F102/E102</f>
        <v>1.0002855232497014</v>
      </c>
      <c r="I102" s="29">
        <f>F102-D102</f>
        <v>-571229.35</v>
      </c>
      <c r="J102" s="230">
        <f>F102/D102</f>
        <v>0.5602709937103201</v>
      </c>
      <c r="N102" s="29">
        <f>N9+N15+N17+N18+N19+N23+N42+N45+N65+N59</f>
        <v>118465.80000000003</v>
      </c>
      <c r="O102" s="229">
        <f>O9+O15+O17+O18+O19+O23+O42+O45+O65+O59</f>
        <v>116115.39999999997</v>
      </c>
      <c r="P102" s="29">
        <f>O102-N102</f>
        <v>-2350.400000000067</v>
      </c>
      <c r="Q102" s="230">
        <f>O102/N102</f>
        <v>0.9801596747753355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38216.609999999986</v>
      </c>
      <c r="G103" s="29">
        <f>G43+G44+G46+G48+G50+G51+G52+G53+G54+G60+G64+G47</f>
        <v>3290.6599999999985</v>
      </c>
      <c r="H103" s="230">
        <f>F103/E103</f>
        <v>1.0940537399230483</v>
      </c>
      <c r="I103" s="29">
        <f>I43+I44+I46+I48+I50+I51+I52+I53+I54+I60+I64+I47</f>
        <v>-20220.64</v>
      </c>
      <c r="J103" s="230">
        <f>F103/D103</f>
        <v>0.6539181246524359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6372.929999999999</v>
      </c>
      <c r="P103" s="29">
        <f>#N/A</f>
        <v>1095.5300000000002</v>
      </c>
      <c r="Q103" s="230">
        <f>O103/N103</f>
        <v>1.2075432014552068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804400.5900000001</v>
      </c>
      <c r="G112" s="192">
        <f>F112-E112</f>
        <v>-33570.7699999999</v>
      </c>
      <c r="H112" s="193">
        <f>F112/E112*100</f>
        <v>95.99380460926494</v>
      </c>
      <c r="I112" s="194">
        <f>F112-D112</f>
        <v>-871154.76</v>
      </c>
      <c r="J112" s="194">
        <f>F112/D112*100</f>
        <v>48.00799866145872</v>
      </c>
      <c r="K112" s="194">
        <f>K89+K111</f>
        <v>606374.85</v>
      </c>
      <c r="L112" s="194">
        <f>F112-K112</f>
        <v>198025.7400000001</v>
      </c>
      <c r="M112" s="269">
        <f>F112/K112</f>
        <v>1.3265731420094355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1350229.67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10" sqref="N10:N1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9" width="11.00390625" style="4" customWidth="1"/>
    <col min="20" max="16384" width="9.125" style="4" customWidth="1"/>
  </cols>
  <sheetData>
    <row r="1" spans="1:19" s="1" customFormat="1" ht="26.25" customHeight="1">
      <c r="A1" s="312" t="s">
        <v>216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6"/>
      <c r="S1" s="86"/>
    </row>
    <row r="2" spans="2:19" s="1" customFormat="1" ht="15.75" customHeight="1">
      <c r="B2" s="313"/>
      <c r="C2" s="313"/>
      <c r="D2" s="31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14"/>
      <c r="B3" s="316"/>
      <c r="C3" s="317" t="s">
        <v>0</v>
      </c>
      <c r="D3" s="318" t="s">
        <v>150</v>
      </c>
      <c r="E3" s="32"/>
      <c r="F3" s="319" t="s">
        <v>26</v>
      </c>
      <c r="G3" s="320"/>
      <c r="H3" s="320"/>
      <c r="I3" s="320"/>
      <c r="J3" s="321"/>
      <c r="K3" s="83"/>
      <c r="L3" s="83"/>
      <c r="M3" s="83"/>
      <c r="N3" s="322" t="s">
        <v>212</v>
      </c>
      <c r="O3" s="325" t="s">
        <v>213</v>
      </c>
      <c r="P3" s="325"/>
      <c r="Q3" s="325"/>
      <c r="R3" s="325"/>
      <c r="S3" s="325"/>
    </row>
    <row r="4" spans="1:19" ht="22.5" customHeight="1">
      <c r="A4" s="314"/>
      <c r="B4" s="316"/>
      <c r="C4" s="317"/>
      <c r="D4" s="318"/>
      <c r="E4" s="326" t="s">
        <v>209</v>
      </c>
      <c r="F4" s="328" t="s">
        <v>33</v>
      </c>
      <c r="G4" s="330" t="s">
        <v>210</v>
      </c>
      <c r="H4" s="323" t="s">
        <v>211</v>
      </c>
      <c r="I4" s="330" t="s">
        <v>138</v>
      </c>
      <c r="J4" s="323" t="s">
        <v>139</v>
      </c>
      <c r="K4" s="85" t="s">
        <v>141</v>
      </c>
      <c r="L4" s="204" t="s">
        <v>113</v>
      </c>
      <c r="M4" s="90" t="s">
        <v>63</v>
      </c>
      <c r="N4" s="323"/>
      <c r="O4" s="332" t="s">
        <v>217</v>
      </c>
      <c r="P4" s="330" t="s">
        <v>49</v>
      </c>
      <c r="Q4" s="335" t="s">
        <v>48</v>
      </c>
      <c r="R4" s="91" t="s">
        <v>64</v>
      </c>
      <c r="S4" s="91"/>
    </row>
    <row r="5" spans="1:19" ht="67.5" customHeight="1">
      <c r="A5" s="315"/>
      <c r="B5" s="316"/>
      <c r="C5" s="317"/>
      <c r="D5" s="318"/>
      <c r="E5" s="327"/>
      <c r="F5" s="329"/>
      <c r="G5" s="331"/>
      <c r="H5" s="324"/>
      <c r="I5" s="331"/>
      <c r="J5" s="324"/>
      <c r="K5" s="336" t="s">
        <v>214</v>
      </c>
      <c r="L5" s="337"/>
      <c r="M5" s="338"/>
      <c r="N5" s="324"/>
      <c r="O5" s="333"/>
      <c r="P5" s="331"/>
      <c r="Q5" s="335"/>
      <c r="R5" s="339" t="s">
        <v>215</v>
      </c>
      <c r="S5" s="34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1069.71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186.12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 hidden="1">
      <c r="B90" s="20" t="s">
        <v>34</v>
      </c>
      <c r="O90" s="25"/>
    </row>
    <row r="91" spans="2:19" ht="15" hidden="1">
      <c r="B91" s="4" t="s">
        <v>36</v>
      </c>
      <c r="C91" s="76">
        <v>0</v>
      </c>
      <c r="D91" s="4" t="s">
        <v>35</v>
      </c>
      <c r="O91" s="78"/>
      <c r="S91" s="29"/>
    </row>
    <row r="92" spans="2:19" ht="30.75" hidden="1">
      <c r="B92" s="52" t="s">
        <v>53</v>
      </c>
      <c r="C92" s="29">
        <f>IF(P67&lt;0,ABS(P67/C91),0)</f>
        <v>0</v>
      </c>
      <c r="D92" s="4" t="s">
        <v>24</v>
      </c>
      <c r="G92" s="341"/>
      <c r="H92" s="341"/>
      <c r="I92" s="341"/>
      <c r="J92" s="341"/>
      <c r="K92" s="84"/>
      <c r="L92" s="84"/>
      <c r="M92" s="84"/>
      <c r="Q92" s="25"/>
      <c r="R92" s="25"/>
      <c r="S92" s="25"/>
    </row>
    <row r="93" spans="2:16" ht="34.5" customHeight="1" hidden="1">
      <c r="B93" s="53" t="s">
        <v>55</v>
      </c>
      <c r="C93" s="81">
        <v>42916</v>
      </c>
      <c r="D93" s="29">
        <v>14988.4</v>
      </c>
      <c r="G93" s="4" t="s">
        <v>58</v>
      </c>
      <c r="O93" s="342"/>
      <c r="P93" s="342"/>
    </row>
    <row r="94" spans="3:16" ht="15" hidden="1">
      <c r="C94" s="81">
        <v>42913</v>
      </c>
      <c r="D94" s="29">
        <v>9872.9</v>
      </c>
      <c r="G94" s="334"/>
      <c r="H94" s="334"/>
      <c r="I94" s="118"/>
      <c r="J94" s="349"/>
      <c r="K94" s="349"/>
      <c r="L94" s="349"/>
      <c r="M94" s="349"/>
      <c r="N94" s="349"/>
      <c r="O94" s="342"/>
      <c r="P94" s="342"/>
    </row>
    <row r="95" spans="3:16" ht="15.75" customHeight="1" hidden="1">
      <c r="C95" s="81">
        <v>42912</v>
      </c>
      <c r="D95" s="29">
        <v>4876.1</v>
      </c>
      <c r="F95" s="68"/>
      <c r="G95" s="334"/>
      <c r="H95" s="334"/>
      <c r="I95" s="118"/>
      <c r="J95" s="350"/>
      <c r="K95" s="350"/>
      <c r="L95" s="350"/>
      <c r="M95" s="350"/>
      <c r="N95" s="350"/>
      <c r="O95" s="342"/>
      <c r="P95" s="342"/>
    </row>
    <row r="96" spans="3:14" ht="15.75" customHeight="1" hidden="1">
      <c r="C96" s="81"/>
      <c r="F96" s="68"/>
      <c r="G96" s="346"/>
      <c r="H96" s="346"/>
      <c r="I96" s="124"/>
      <c r="J96" s="349"/>
      <c r="K96" s="349"/>
      <c r="L96" s="349"/>
      <c r="M96" s="349"/>
      <c r="N96" s="349"/>
    </row>
    <row r="97" spans="2:14" ht="18" customHeight="1" hidden="1">
      <c r="B97" s="347" t="s">
        <v>56</v>
      </c>
      <c r="C97" s="348"/>
      <c r="D97" s="133">
        <v>225.52589</v>
      </c>
      <c r="E97" s="69"/>
      <c r="F97" s="125" t="s">
        <v>107</v>
      </c>
      <c r="G97" s="334"/>
      <c r="H97" s="334"/>
      <c r="I97" s="126"/>
      <c r="J97" s="349"/>
      <c r="K97" s="349"/>
      <c r="L97" s="349"/>
      <c r="M97" s="349"/>
      <c r="N97" s="349"/>
    </row>
    <row r="98" spans="6:13" ht="9.75" customHeight="1" hidden="1">
      <c r="F98" s="68"/>
      <c r="G98" s="334"/>
      <c r="H98" s="334"/>
      <c r="I98" s="68"/>
      <c r="J98" s="69"/>
      <c r="K98" s="69"/>
      <c r="L98" s="69"/>
      <c r="M98" s="69"/>
    </row>
    <row r="99" spans="2:13" ht="22.5" customHeight="1" hidden="1">
      <c r="B99" s="343" t="s">
        <v>59</v>
      </c>
      <c r="C99" s="344"/>
      <c r="D99" s="80">
        <v>0</v>
      </c>
      <c r="E99" s="51" t="s">
        <v>24</v>
      </c>
      <c r="F99" s="68"/>
      <c r="G99" s="334"/>
      <c r="H99" s="334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 hidden="1">
      <c r="D101" s="78"/>
      <c r="I101" s="29"/>
      <c r="O101" s="345"/>
      <c r="P101" s="34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64603.59999999993</v>
      </c>
    </row>
    <row r="108" spans="2:5" ht="15" hidden="1">
      <c r="B108" s="245" t="s">
        <v>166</v>
      </c>
      <c r="E108" s="29">
        <f>E88-E83-E76-E77</f>
        <v>16233.300000000003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5" ht="15" hidden="1"/>
    <row r="126" ht="15" hidden="1"/>
    <row r="127" ht="15" hidden="1"/>
    <row r="128" spans="4:6" ht="15">
      <c r="D128" s="29"/>
      <c r="E128" s="29"/>
      <c r="F128" s="29"/>
    </row>
    <row r="130" spans="4:5" ht="15">
      <c r="D130" s="29"/>
      <c r="E130" s="29"/>
    </row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F4:F5"/>
    <mergeCell ref="G4:G5"/>
    <mergeCell ref="H4:H5"/>
    <mergeCell ref="I4:I5"/>
    <mergeCell ref="J4:J5"/>
    <mergeCell ref="O93:P93"/>
    <mergeCell ref="O3:S3"/>
    <mergeCell ref="P4:P5"/>
    <mergeCell ref="Q4:Q5"/>
    <mergeCell ref="K5:M5"/>
    <mergeCell ref="R5:S5"/>
    <mergeCell ref="G92:J92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3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41" sqref="O4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12" t="s">
        <v>207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6"/>
      <c r="S1" s="86"/>
      <c r="T1" s="86"/>
      <c r="U1" s="87"/>
    </row>
    <row r="2" spans="2:21" s="1" customFormat="1" ht="15.75" customHeight="1">
      <c r="B2" s="313"/>
      <c r="C2" s="313"/>
      <c r="D2" s="313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14"/>
      <c r="B3" s="316"/>
      <c r="C3" s="317" t="s">
        <v>0</v>
      </c>
      <c r="D3" s="318" t="s">
        <v>150</v>
      </c>
      <c r="E3" s="32"/>
      <c r="F3" s="319" t="s">
        <v>26</v>
      </c>
      <c r="G3" s="320"/>
      <c r="H3" s="320"/>
      <c r="I3" s="320"/>
      <c r="J3" s="321"/>
      <c r="K3" s="83"/>
      <c r="L3" s="83"/>
      <c r="M3" s="83"/>
      <c r="N3" s="322" t="s">
        <v>201</v>
      </c>
      <c r="O3" s="325" t="s">
        <v>202</v>
      </c>
      <c r="P3" s="325"/>
      <c r="Q3" s="325"/>
      <c r="R3" s="325"/>
      <c r="S3" s="325"/>
      <c r="T3" s="325"/>
      <c r="U3" s="325"/>
    </row>
    <row r="4" spans="1:21" ht="22.5" customHeight="1">
      <c r="A4" s="314"/>
      <c r="B4" s="316"/>
      <c r="C4" s="317"/>
      <c r="D4" s="318"/>
      <c r="E4" s="326" t="s">
        <v>198</v>
      </c>
      <c r="F4" s="328" t="s">
        <v>33</v>
      </c>
      <c r="G4" s="330" t="s">
        <v>199</v>
      </c>
      <c r="H4" s="323" t="s">
        <v>200</v>
      </c>
      <c r="I4" s="330" t="s">
        <v>138</v>
      </c>
      <c r="J4" s="323" t="s">
        <v>139</v>
      </c>
      <c r="K4" s="85" t="s">
        <v>141</v>
      </c>
      <c r="L4" s="204" t="s">
        <v>113</v>
      </c>
      <c r="M4" s="90" t="s">
        <v>63</v>
      </c>
      <c r="N4" s="323"/>
      <c r="O4" s="332" t="s">
        <v>208</v>
      </c>
      <c r="P4" s="330" t="s">
        <v>49</v>
      </c>
      <c r="Q4" s="335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15"/>
      <c r="B5" s="316"/>
      <c r="C5" s="317"/>
      <c r="D5" s="318"/>
      <c r="E5" s="327"/>
      <c r="F5" s="329"/>
      <c r="G5" s="331"/>
      <c r="H5" s="324"/>
      <c r="I5" s="331"/>
      <c r="J5" s="324"/>
      <c r="K5" s="336" t="s">
        <v>204</v>
      </c>
      <c r="L5" s="337"/>
      <c r="M5" s="338"/>
      <c r="N5" s="324"/>
      <c r="O5" s="333"/>
      <c r="P5" s="331"/>
      <c r="Q5" s="335"/>
      <c r="R5" s="339" t="s">
        <v>203</v>
      </c>
      <c r="S5" s="340"/>
      <c r="T5" s="351" t="s">
        <v>194</v>
      </c>
      <c r="U5" s="351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883.59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243.89999999999998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41"/>
      <c r="H92" s="341"/>
      <c r="I92" s="341"/>
      <c r="J92" s="341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342"/>
      <c r="P93" s="342"/>
    </row>
    <row r="94" spans="3:16" ht="15">
      <c r="C94" s="81">
        <v>42885</v>
      </c>
      <c r="D94" s="29">
        <v>10664.9</v>
      </c>
      <c r="F94" s="113" t="s">
        <v>58</v>
      </c>
      <c r="G94" s="334"/>
      <c r="H94" s="334"/>
      <c r="I94" s="118"/>
      <c r="J94" s="349"/>
      <c r="K94" s="349"/>
      <c r="L94" s="349"/>
      <c r="M94" s="349"/>
      <c r="N94" s="349"/>
      <c r="O94" s="342"/>
      <c r="P94" s="342"/>
    </row>
    <row r="95" spans="3:16" ht="15.75" customHeight="1">
      <c r="C95" s="81">
        <v>42884</v>
      </c>
      <c r="D95" s="29">
        <v>6919.44</v>
      </c>
      <c r="F95" s="68"/>
      <c r="G95" s="334"/>
      <c r="H95" s="334"/>
      <c r="I95" s="118"/>
      <c r="J95" s="350"/>
      <c r="K95" s="350"/>
      <c r="L95" s="350"/>
      <c r="M95" s="350"/>
      <c r="N95" s="350"/>
      <c r="O95" s="342"/>
      <c r="P95" s="342"/>
    </row>
    <row r="96" spans="3:14" ht="15.75" customHeight="1">
      <c r="C96" s="81"/>
      <c r="F96" s="68"/>
      <c r="G96" s="346"/>
      <c r="H96" s="346"/>
      <c r="I96" s="124"/>
      <c r="J96" s="349"/>
      <c r="K96" s="349"/>
      <c r="L96" s="349"/>
      <c r="M96" s="349"/>
      <c r="N96" s="349"/>
    </row>
    <row r="97" spans="2:14" ht="18" customHeight="1">
      <c r="B97" s="347" t="s">
        <v>56</v>
      </c>
      <c r="C97" s="348"/>
      <c r="D97" s="133">
        <v>1135.71022</v>
      </c>
      <c r="E97" s="69"/>
      <c r="F97" s="125" t="s">
        <v>107</v>
      </c>
      <c r="G97" s="334"/>
      <c r="H97" s="334"/>
      <c r="I97" s="126"/>
      <c r="J97" s="349"/>
      <c r="K97" s="349"/>
      <c r="L97" s="349"/>
      <c r="M97" s="349"/>
      <c r="N97" s="349"/>
    </row>
    <row r="98" spans="6:13" ht="9.75" customHeight="1" hidden="1">
      <c r="F98" s="68"/>
      <c r="G98" s="334"/>
      <c r="H98" s="334"/>
      <c r="I98" s="68"/>
      <c r="J98" s="69"/>
      <c r="K98" s="69"/>
      <c r="L98" s="69"/>
      <c r="M98" s="69"/>
    </row>
    <row r="99" spans="2:13" ht="22.5" customHeight="1" hidden="1">
      <c r="B99" s="343" t="s">
        <v>59</v>
      </c>
      <c r="C99" s="344"/>
      <c r="D99" s="80">
        <v>0</v>
      </c>
      <c r="E99" s="51" t="s">
        <v>24</v>
      </c>
      <c r="F99" s="68"/>
      <c r="G99" s="334"/>
      <c r="H99" s="334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345"/>
      <c r="P101" s="34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T5:U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F2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35" sqref="O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12" t="s">
        <v>196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6"/>
      <c r="S1" s="86"/>
      <c r="T1" s="86"/>
      <c r="U1" s="87"/>
    </row>
    <row r="2" spans="2:21" s="1" customFormat="1" ht="15.75" customHeight="1">
      <c r="B2" s="313"/>
      <c r="C2" s="313"/>
      <c r="D2" s="313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14"/>
      <c r="B3" s="316"/>
      <c r="C3" s="317" t="s">
        <v>0</v>
      </c>
      <c r="D3" s="318" t="s">
        <v>150</v>
      </c>
      <c r="E3" s="32"/>
      <c r="F3" s="319" t="s">
        <v>26</v>
      </c>
      <c r="G3" s="320"/>
      <c r="H3" s="320"/>
      <c r="I3" s="320"/>
      <c r="J3" s="321"/>
      <c r="K3" s="83"/>
      <c r="L3" s="83"/>
      <c r="M3" s="83"/>
      <c r="N3" s="322" t="s">
        <v>191</v>
      </c>
      <c r="O3" s="325" t="s">
        <v>190</v>
      </c>
      <c r="P3" s="325"/>
      <c r="Q3" s="325"/>
      <c r="R3" s="325"/>
      <c r="S3" s="325"/>
      <c r="T3" s="325"/>
      <c r="U3" s="325"/>
    </row>
    <row r="4" spans="1:21" ht="22.5" customHeight="1">
      <c r="A4" s="314"/>
      <c r="B4" s="316"/>
      <c r="C4" s="317"/>
      <c r="D4" s="318"/>
      <c r="E4" s="326" t="s">
        <v>187</v>
      </c>
      <c r="F4" s="328" t="s">
        <v>33</v>
      </c>
      <c r="G4" s="330" t="s">
        <v>188</v>
      </c>
      <c r="H4" s="323" t="s">
        <v>189</v>
      </c>
      <c r="I4" s="330" t="s">
        <v>138</v>
      </c>
      <c r="J4" s="323" t="s">
        <v>139</v>
      </c>
      <c r="K4" s="85" t="s">
        <v>141</v>
      </c>
      <c r="L4" s="204" t="s">
        <v>113</v>
      </c>
      <c r="M4" s="90" t="s">
        <v>63</v>
      </c>
      <c r="N4" s="323"/>
      <c r="O4" s="332" t="s">
        <v>197</v>
      </c>
      <c r="P4" s="330" t="s">
        <v>49</v>
      </c>
      <c r="Q4" s="335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15"/>
      <c r="B5" s="316"/>
      <c r="C5" s="317"/>
      <c r="D5" s="318"/>
      <c r="E5" s="327"/>
      <c r="F5" s="329"/>
      <c r="G5" s="331"/>
      <c r="H5" s="324"/>
      <c r="I5" s="331"/>
      <c r="J5" s="324"/>
      <c r="K5" s="336" t="s">
        <v>192</v>
      </c>
      <c r="L5" s="337"/>
      <c r="M5" s="338"/>
      <c r="N5" s="324"/>
      <c r="O5" s="333"/>
      <c r="P5" s="331"/>
      <c r="Q5" s="335"/>
      <c r="R5" s="339" t="s">
        <v>193</v>
      </c>
      <c r="S5" s="340"/>
      <c r="T5" s="351" t="s">
        <v>194</v>
      </c>
      <c r="U5" s="351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639.69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211.96000000000004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41"/>
      <c r="H92" s="341"/>
      <c r="I92" s="341"/>
      <c r="J92" s="341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342"/>
      <c r="P93" s="342"/>
    </row>
    <row r="94" spans="3:16" ht="15">
      <c r="C94" s="81">
        <v>42852</v>
      </c>
      <c r="D94" s="29">
        <v>13266.8</v>
      </c>
      <c r="F94" s="113" t="s">
        <v>58</v>
      </c>
      <c r="G94" s="334"/>
      <c r="H94" s="334"/>
      <c r="I94" s="118"/>
      <c r="J94" s="349"/>
      <c r="K94" s="349"/>
      <c r="L94" s="349"/>
      <c r="M94" s="349"/>
      <c r="N94" s="349"/>
      <c r="O94" s="342"/>
      <c r="P94" s="342"/>
    </row>
    <row r="95" spans="3:16" ht="15.75" customHeight="1">
      <c r="C95" s="81">
        <v>42851</v>
      </c>
      <c r="D95" s="29">
        <v>6064.2</v>
      </c>
      <c r="F95" s="68"/>
      <c r="G95" s="334"/>
      <c r="H95" s="334"/>
      <c r="I95" s="118"/>
      <c r="J95" s="350"/>
      <c r="K95" s="350"/>
      <c r="L95" s="350"/>
      <c r="M95" s="350"/>
      <c r="N95" s="350"/>
      <c r="O95" s="342"/>
      <c r="P95" s="342"/>
    </row>
    <row r="96" spans="3:14" ht="15.75" customHeight="1">
      <c r="C96" s="81"/>
      <c r="F96" s="68"/>
      <c r="G96" s="346"/>
      <c r="H96" s="346"/>
      <c r="I96" s="124"/>
      <c r="J96" s="349"/>
      <c r="K96" s="349"/>
      <c r="L96" s="349"/>
      <c r="M96" s="349"/>
      <c r="N96" s="349"/>
    </row>
    <row r="97" spans="2:14" ht="18" customHeight="1">
      <c r="B97" s="347" t="s">
        <v>56</v>
      </c>
      <c r="C97" s="348"/>
      <c r="D97" s="133">
        <v>102.57358</v>
      </c>
      <c r="E97" s="69"/>
      <c r="F97" s="125" t="s">
        <v>107</v>
      </c>
      <c r="G97" s="334"/>
      <c r="H97" s="334"/>
      <c r="I97" s="126"/>
      <c r="J97" s="349"/>
      <c r="K97" s="349"/>
      <c r="L97" s="349"/>
      <c r="M97" s="349"/>
      <c r="N97" s="349"/>
    </row>
    <row r="98" spans="6:13" ht="9.75" customHeight="1" hidden="1">
      <c r="F98" s="68"/>
      <c r="G98" s="334"/>
      <c r="H98" s="334"/>
      <c r="I98" s="68"/>
      <c r="J98" s="69"/>
      <c r="K98" s="69"/>
      <c r="L98" s="69"/>
      <c r="M98" s="69"/>
    </row>
    <row r="99" spans="2:13" ht="22.5" customHeight="1" hidden="1">
      <c r="B99" s="343" t="s">
        <v>59</v>
      </c>
      <c r="C99" s="344"/>
      <c r="D99" s="80">
        <v>0</v>
      </c>
      <c r="E99" s="51" t="s">
        <v>24</v>
      </c>
      <c r="F99" s="68"/>
      <c r="G99" s="334"/>
      <c r="H99" s="334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345"/>
      <c r="P101" s="34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P4:P5"/>
    <mergeCell ref="Q4:Q5"/>
    <mergeCell ref="K5:M5"/>
    <mergeCell ref="G92:J92"/>
    <mergeCell ref="O93:P93"/>
    <mergeCell ref="F4:F5"/>
    <mergeCell ref="G4:G5"/>
    <mergeCell ref="H4:H5"/>
    <mergeCell ref="I4:I5"/>
    <mergeCell ref="J4:J5"/>
    <mergeCell ref="G98:H98"/>
    <mergeCell ref="G94:H94"/>
    <mergeCell ref="J94:N94"/>
    <mergeCell ref="O94:P94"/>
    <mergeCell ref="G95:H95"/>
    <mergeCell ref="J95:N95"/>
    <mergeCell ref="O95:P95"/>
    <mergeCell ref="R5:S5"/>
    <mergeCell ref="T5:U5"/>
    <mergeCell ref="B99:C99"/>
    <mergeCell ref="G99:H99"/>
    <mergeCell ref="O101:P101"/>
    <mergeCell ref="G96:H96"/>
    <mergeCell ref="J96:N96"/>
    <mergeCell ref="B97:C97"/>
    <mergeCell ref="G97:H97"/>
    <mergeCell ref="J97:N97"/>
  </mergeCells>
  <printOptions/>
  <pageMargins left="0" right="0" top="0" bottom="0" header="0" footer="0"/>
  <pageSetup fitToHeight="2" fitToWidth="1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35" sqref="O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312" t="s">
        <v>185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6"/>
      <c r="S1" s="87"/>
      <c r="T1" s="246"/>
      <c r="U1" s="249"/>
      <c r="V1" s="259"/>
      <c r="W1" s="259"/>
    </row>
    <row r="2" spans="2:23" s="1" customFormat="1" ht="15.75" customHeight="1">
      <c r="B2" s="313"/>
      <c r="C2" s="313"/>
      <c r="D2" s="313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314"/>
      <c r="B3" s="316"/>
      <c r="C3" s="317" t="s">
        <v>0</v>
      </c>
      <c r="D3" s="318" t="s">
        <v>150</v>
      </c>
      <c r="E3" s="32"/>
      <c r="F3" s="319" t="s">
        <v>26</v>
      </c>
      <c r="G3" s="320"/>
      <c r="H3" s="320"/>
      <c r="I3" s="320"/>
      <c r="J3" s="321"/>
      <c r="K3" s="83"/>
      <c r="L3" s="83"/>
      <c r="M3" s="83"/>
      <c r="N3" s="322" t="s">
        <v>163</v>
      </c>
      <c r="O3" s="325" t="s">
        <v>164</v>
      </c>
      <c r="P3" s="325"/>
      <c r="Q3" s="325"/>
      <c r="R3" s="325"/>
      <c r="S3" s="325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314"/>
      <c r="B4" s="316"/>
      <c r="C4" s="317"/>
      <c r="D4" s="318"/>
      <c r="E4" s="326" t="s">
        <v>153</v>
      </c>
      <c r="F4" s="328" t="s">
        <v>33</v>
      </c>
      <c r="G4" s="330" t="s">
        <v>162</v>
      </c>
      <c r="H4" s="323" t="s">
        <v>176</v>
      </c>
      <c r="I4" s="330" t="s">
        <v>138</v>
      </c>
      <c r="J4" s="323" t="s">
        <v>139</v>
      </c>
      <c r="K4" s="85" t="s">
        <v>141</v>
      </c>
      <c r="L4" s="204" t="s">
        <v>113</v>
      </c>
      <c r="M4" s="90" t="s">
        <v>63</v>
      </c>
      <c r="N4" s="323"/>
      <c r="O4" s="332" t="s">
        <v>186</v>
      </c>
      <c r="P4" s="330" t="s">
        <v>49</v>
      </c>
      <c r="Q4" s="335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315"/>
      <c r="B5" s="316"/>
      <c r="C5" s="317"/>
      <c r="D5" s="318"/>
      <c r="E5" s="327"/>
      <c r="F5" s="329"/>
      <c r="G5" s="331"/>
      <c r="H5" s="324"/>
      <c r="I5" s="331"/>
      <c r="J5" s="324"/>
      <c r="K5" s="336" t="s">
        <v>169</v>
      </c>
      <c r="L5" s="337"/>
      <c r="M5" s="338"/>
      <c r="N5" s="324"/>
      <c r="O5" s="333"/>
      <c r="P5" s="331"/>
      <c r="Q5" s="335"/>
      <c r="R5" s="336" t="s">
        <v>102</v>
      </c>
      <c r="S5" s="338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341"/>
      <c r="H92" s="341"/>
      <c r="I92" s="341"/>
      <c r="J92" s="341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342"/>
      <c r="P93" s="342"/>
    </row>
    <row r="94" spans="3:16" ht="15">
      <c r="C94" s="81">
        <v>42824</v>
      </c>
      <c r="D94" s="29">
        <v>11112.7</v>
      </c>
      <c r="F94" s="113" t="s">
        <v>58</v>
      </c>
      <c r="G94" s="334"/>
      <c r="H94" s="334"/>
      <c r="I94" s="118"/>
      <c r="J94" s="349"/>
      <c r="K94" s="349"/>
      <c r="L94" s="349"/>
      <c r="M94" s="349"/>
      <c r="N94" s="349"/>
      <c r="O94" s="342"/>
      <c r="P94" s="342"/>
    </row>
    <row r="95" spans="3:16" ht="15.75" customHeight="1">
      <c r="C95" s="81">
        <v>42823</v>
      </c>
      <c r="D95" s="29">
        <v>8830.3</v>
      </c>
      <c r="F95" s="68"/>
      <c r="G95" s="334"/>
      <c r="H95" s="334"/>
      <c r="I95" s="118"/>
      <c r="J95" s="350"/>
      <c r="K95" s="350"/>
      <c r="L95" s="350"/>
      <c r="M95" s="350"/>
      <c r="N95" s="350"/>
      <c r="O95" s="342"/>
      <c r="P95" s="342"/>
    </row>
    <row r="96" spans="3:14" ht="15.75" customHeight="1">
      <c r="C96" s="81"/>
      <c r="F96" s="68"/>
      <c r="G96" s="346"/>
      <c r="H96" s="346"/>
      <c r="I96" s="124"/>
      <c r="J96" s="349"/>
      <c r="K96" s="349"/>
      <c r="L96" s="349"/>
      <c r="M96" s="349"/>
      <c r="N96" s="349"/>
    </row>
    <row r="97" spans="2:14" ht="18" customHeight="1">
      <c r="B97" s="347" t="s">
        <v>56</v>
      </c>
      <c r="C97" s="348"/>
      <c r="D97" s="133">
        <v>1399.2856000000002</v>
      </c>
      <c r="E97" s="69"/>
      <c r="F97" s="125" t="s">
        <v>107</v>
      </c>
      <c r="G97" s="334"/>
      <c r="H97" s="334"/>
      <c r="I97" s="126"/>
      <c r="J97" s="349"/>
      <c r="K97" s="349"/>
      <c r="L97" s="349"/>
      <c r="M97" s="349"/>
      <c r="N97" s="349"/>
    </row>
    <row r="98" spans="6:13" ht="9.75" customHeight="1">
      <c r="F98" s="68"/>
      <c r="G98" s="334"/>
      <c r="H98" s="334"/>
      <c r="I98" s="68"/>
      <c r="J98" s="69"/>
      <c r="K98" s="69"/>
      <c r="L98" s="69"/>
      <c r="M98" s="69"/>
    </row>
    <row r="99" spans="2:13" ht="22.5" customHeight="1" hidden="1">
      <c r="B99" s="343" t="s">
        <v>59</v>
      </c>
      <c r="C99" s="344"/>
      <c r="D99" s="80">
        <v>0</v>
      </c>
      <c r="E99" s="51" t="s">
        <v>24</v>
      </c>
      <c r="F99" s="68"/>
      <c r="G99" s="334"/>
      <c r="H99" s="334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345"/>
      <c r="P101" s="34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8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M9" sqref="M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12" t="s">
        <v>151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6"/>
      <c r="S1" s="87"/>
    </row>
    <row r="2" spans="2:19" s="1" customFormat="1" ht="15.75" customHeight="1">
      <c r="B2" s="313"/>
      <c r="C2" s="313"/>
      <c r="D2" s="313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14"/>
      <c r="B3" s="316"/>
      <c r="C3" s="317" t="s">
        <v>0</v>
      </c>
      <c r="D3" s="318" t="s">
        <v>150</v>
      </c>
      <c r="E3" s="32"/>
      <c r="F3" s="319" t="s">
        <v>26</v>
      </c>
      <c r="G3" s="320"/>
      <c r="H3" s="320"/>
      <c r="I3" s="320"/>
      <c r="J3" s="321"/>
      <c r="K3" s="83"/>
      <c r="L3" s="83"/>
      <c r="M3" s="83"/>
      <c r="N3" s="322" t="s">
        <v>144</v>
      </c>
      <c r="O3" s="325" t="s">
        <v>148</v>
      </c>
      <c r="P3" s="325"/>
      <c r="Q3" s="325"/>
      <c r="R3" s="325"/>
      <c r="S3" s="325"/>
    </row>
    <row r="4" spans="1:19" ht="22.5" customHeight="1">
      <c r="A4" s="314"/>
      <c r="B4" s="316"/>
      <c r="C4" s="317"/>
      <c r="D4" s="318"/>
      <c r="E4" s="326" t="s">
        <v>149</v>
      </c>
      <c r="F4" s="328" t="s">
        <v>33</v>
      </c>
      <c r="G4" s="330" t="s">
        <v>145</v>
      </c>
      <c r="H4" s="323" t="s">
        <v>146</v>
      </c>
      <c r="I4" s="330" t="s">
        <v>138</v>
      </c>
      <c r="J4" s="323" t="s">
        <v>139</v>
      </c>
      <c r="K4" s="85" t="s">
        <v>141</v>
      </c>
      <c r="L4" s="204" t="s">
        <v>113</v>
      </c>
      <c r="M4" s="90" t="s">
        <v>63</v>
      </c>
      <c r="N4" s="323"/>
      <c r="O4" s="332" t="s">
        <v>152</v>
      </c>
      <c r="P4" s="330" t="s">
        <v>49</v>
      </c>
      <c r="Q4" s="335" t="s">
        <v>48</v>
      </c>
      <c r="R4" s="91" t="s">
        <v>64</v>
      </c>
      <c r="S4" s="92" t="s">
        <v>63</v>
      </c>
    </row>
    <row r="5" spans="1:19" ht="67.5" customHeight="1">
      <c r="A5" s="315"/>
      <c r="B5" s="316"/>
      <c r="C5" s="317"/>
      <c r="D5" s="318"/>
      <c r="E5" s="327"/>
      <c r="F5" s="329"/>
      <c r="G5" s="331"/>
      <c r="H5" s="324"/>
      <c r="I5" s="331"/>
      <c r="J5" s="324"/>
      <c r="K5" s="336" t="s">
        <v>147</v>
      </c>
      <c r="L5" s="337"/>
      <c r="M5" s="338"/>
      <c r="N5" s="324"/>
      <c r="O5" s="333"/>
      <c r="P5" s="331"/>
      <c r="Q5" s="335"/>
      <c r="R5" s="336" t="s">
        <v>102</v>
      </c>
      <c r="S5" s="338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341"/>
      <c r="H89" s="341"/>
      <c r="I89" s="341"/>
      <c r="J89" s="341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342"/>
      <c r="P90" s="342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334"/>
      <c r="H91" s="334"/>
      <c r="I91" s="118"/>
      <c r="J91" s="349"/>
      <c r="K91" s="349"/>
      <c r="L91" s="349"/>
      <c r="M91" s="349"/>
      <c r="N91" s="349"/>
      <c r="O91" s="342"/>
      <c r="P91" s="342"/>
    </row>
    <row r="92" spans="3:16" ht="15.75" customHeight="1">
      <c r="C92" s="81">
        <v>42790</v>
      </c>
      <c r="D92" s="29">
        <v>4206.9</v>
      </c>
      <c r="F92" s="68"/>
      <c r="G92" s="334"/>
      <c r="H92" s="334"/>
      <c r="I92" s="118"/>
      <c r="J92" s="350"/>
      <c r="K92" s="350"/>
      <c r="L92" s="350"/>
      <c r="M92" s="350"/>
      <c r="N92" s="350"/>
      <c r="O92" s="342"/>
      <c r="P92" s="342"/>
    </row>
    <row r="93" spans="3:14" ht="15.75" customHeight="1">
      <c r="C93" s="81"/>
      <c r="F93" s="68"/>
      <c r="G93" s="346"/>
      <c r="H93" s="346"/>
      <c r="I93" s="124"/>
      <c r="J93" s="349"/>
      <c r="K93" s="349"/>
      <c r="L93" s="349"/>
      <c r="M93" s="349"/>
      <c r="N93" s="349"/>
    </row>
    <row r="94" spans="2:14" ht="18.75" customHeight="1">
      <c r="B94" s="347" t="s">
        <v>56</v>
      </c>
      <c r="C94" s="348"/>
      <c r="D94" s="133">
        <v>7713.34596</v>
      </c>
      <c r="E94" s="69"/>
      <c r="F94" s="125" t="s">
        <v>107</v>
      </c>
      <c r="G94" s="334"/>
      <c r="H94" s="334"/>
      <c r="I94" s="126"/>
      <c r="J94" s="349"/>
      <c r="K94" s="349"/>
      <c r="L94" s="349"/>
      <c r="M94" s="349"/>
      <c r="N94" s="349"/>
    </row>
    <row r="95" spans="6:13" ht="9.75" customHeight="1">
      <c r="F95" s="68"/>
      <c r="G95" s="334"/>
      <c r="H95" s="334"/>
      <c r="I95" s="68"/>
      <c r="J95" s="69"/>
      <c r="K95" s="69"/>
      <c r="L95" s="69"/>
      <c r="M95" s="69"/>
    </row>
    <row r="96" spans="2:13" ht="22.5" customHeight="1" hidden="1">
      <c r="B96" s="343" t="s">
        <v>59</v>
      </c>
      <c r="C96" s="344"/>
      <c r="D96" s="80">
        <v>0</v>
      </c>
      <c r="E96" s="51" t="s">
        <v>24</v>
      </c>
      <c r="F96" s="68"/>
      <c r="G96" s="334"/>
      <c r="H96" s="334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345"/>
      <c r="P98" s="345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L9" sqref="L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12" t="s">
        <v>143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6"/>
      <c r="S1" s="87"/>
    </row>
    <row r="2" spans="2:19" s="1" customFormat="1" ht="15.75" customHeight="1">
      <c r="B2" s="313"/>
      <c r="C2" s="313"/>
      <c r="D2" s="313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314"/>
      <c r="B3" s="316"/>
      <c r="C3" s="317" t="s">
        <v>0</v>
      </c>
      <c r="D3" s="318" t="s">
        <v>134</v>
      </c>
      <c r="E3" s="32"/>
      <c r="F3" s="319" t="s">
        <v>26</v>
      </c>
      <c r="G3" s="320"/>
      <c r="H3" s="320"/>
      <c r="I3" s="320"/>
      <c r="J3" s="321"/>
      <c r="K3" s="83"/>
      <c r="L3" s="83"/>
      <c r="M3" s="83"/>
      <c r="N3" s="322" t="s">
        <v>123</v>
      </c>
      <c r="O3" s="325" t="s">
        <v>118</v>
      </c>
      <c r="P3" s="325"/>
      <c r="Q3" s="325"/>
      <c r="R3" s="325"/>
      <c r="S3" s="325"/>
    </row>
    <row r="4" spans="1:19" ht="22.5" customHeight="1">
      <c r="A4" s="314"/>
      <c r="B4" s="316"/>
      <c r="C4" s="317"/>
      <c r="D4" s="318"/>
      <c r="E4" s="326" t="s">
        <v>135</v>
      </c>
      <c r="F4" s="328" t="s">
        <v>33</v>
      </c>
      <c r="G4" s="330" t="s">
        <v>136</v>
      </c>
      <c r="H4" s="323" t="s">
        <v>137</v>
      </c>
      <c r="I4" s="330" t="s">
        <v>138</v>
      </c>
      <c r="J4" s="323" t="s">
        <v>139</v>
      </c>
      <c r="K4" s="85" t="s">
        <v>141</v>
      </c>
      <c r="L4" s="204" t="s">
        <v>113</v>
      </c>
      <c r="M4" s="90" t="s">
        <v>63</v>
      </c>
      <c r="N4" s="323"/>
      <c r="O4" s="332" t="s">
        <v>124</v>
      </c>
      <c r="P4" s="330" t="s">
        <v>49</v>
      </c>
      <c r="Q4" s="335" t="s">
        <v>48</v>
      </c>
      <c r="R4" s="91" t="s">
        <v>64</v>
      </c>
      <c r="S4" s="92" t="s">
        <v>63</v>
      </c>
    </row>
    <row r="5" spans="1:19" ht="67.5" customHeight="1">
      <c r="A5" s="315"/>
      <c r="B5" s="316"/>
      <c r="C5" s="317"/>
      <c r="D5" s="318"/>
      <c r="E5" s="327"/>
      <c r="F5" s="329"/>
      <c r="G5" s="331"/>
      <c r="H5" s="324"/>
      <c r="I5" s="331"/>
      <c r="J5" s="324"/>
      <c r="K5" s="336" t="s">
        <v>142</v>
      </c>
      <c r="L5" s="337"/>
      <c r="M5" s="338"/>
      <c r="N5" s="324"/>
      <c r="O5" s="333"/>
      <c r="P5" s="331"/>
      <c r="Q5" s="335"/>
      <c r="R5" s="336" t="s">
        <v>102</v>
      </c>
      <c r="S5" s="338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341"/>
      <c r="H89" s="341"/>
      <c r="I89" s="341"/>
      <c r="J89" s="341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342"/>
      <c r="P90" s="342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334"/>
      <c r="H91" s="334"/>
      <c r="I91" s="118"/>
      <c r="J91" s="349"/>
      <c r="K91" s="349"/>
      <c r="L91" s="349"/>
      <c r="M91" s="349"/>
      <c r="N91" s="349"/>
      <c r="O91" s="342"/>
      <c r="P91" s="342"/>
    </row>
    <row r="92" spans="3:16" ht="15.75" customHeight="1">
      <c r="C92" s="81">
        <v>42762</v>
      </c>
      <c r="D92" s="29">
        <v>8862.4</v>
      </c>
      <c r="F92" s="68"/>
      <c r="G92" s="334"/>
      <c r="H92" s="334"/>
      <c r="I92" s="118"/>
      <c r="J92" s="350"/>
      <c r="K92" s="350"/>
      <c r="L92" s="350"/>
      <c r="M92" s="350"/>
      <c r="N92" s="350"/>
      <c r="O92" s="342"/>
      <c r="P92" s="342"/>
    </row>
    <row r="93" spans="3:14" ht="15.75" customHeight="1">
      <c r="C93" s="81"/>
      <c r="F93" s="68"/>
      <c r="G93" s="346"/>
      <c r="H93" s="346"/>
      <c r="I93" s="124"/>
      <c r="J93" s="349"/>
      <c r="K93" s="349"/>
      <c r="L93" s="349"/>
      <c r="M93" s="349"/>
      <c r="N93" s="349"/>
    </row>
    <row r="94" spans="2:14" ht="18.75" customHeight="1">
      <c r="B94" s="347" t="s">
        <v>56</v>
      </c>
      <c r="C94" s="348"/>
      <c r="D94" s="133">
        <f>9505303.41/1000</f>
        <v>9505.30341</v>
      </c>
      <c r="E94" s="69"/>
      <c r="F94" s="125" t="s">
        <v>107</v>
      </c>
      <c r="G94" s="334"/>
      <c r="H94" s="334"/>
      <c r="I94" s="126"/>
      <c r="J94" s="349"/>
      <c r="K94" s="349"/>
      <c r="L94" s="349"/>
      <c r="M94" s="349"/>
      <c r="N94" s="349"/>
    </row>
    <row r="95" spans="6:13" ht="9.75" customHeight="1">
      <c r="F95" s="68"/>
      <c r="G95" s="334"/>
      <c r="H95" s="334"/>
      <c r="I95" s="68"/>
      <c r="J95" s="69"/>
      <c r="K95" s="69"/>
      <c r="L95" s="69"/>
      <c r="M95" s="69"/>
    </row>
    <row r="96" spans="2:13" ht="22.5" customHeight="1" hidden="1">
      <c r="B96" s="343" t="s">
        <v>59</v>
      </c>
      <c r="C96" s="344"/>
      <c r="D96" s="80">
        <v>0</v>
      </c>
      <c r="E96" s="51" t="s">
        <v>24</v>
      </c>
      <c r="F96" s="68"/>
      <c r="G96" s="334"/>
      <c r="H96" s="334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45"/>
      <c r="P98" s="345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2017-09-25T07:56:05Z</cp:lastPrinted>
  <dcterms:created xsi:type="dcterms:W3CDTF">2003-07-28T11:27:56Z</dcterms:created>
  <dcterms:modified xsi:type="dcterms:W3CDTF">2017-09-25T08:11:02Z</dcterms:modified>
  <cp:category/>
  <cp:version/>
  <cp:contentType/>
  <cp:contentStatus/>
</cp:coreProperties>
</file>